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EstaPastaDeTrabalho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8_{010F1342-BEEA-4FB2-A5DA-F5BC0696408A}" xr6:coauthVersionLast="47" xr6:coauthVersionMax="47" xr10:uidLastSave="{00000000-0000-0000-0000-000000000000}"/>
  <bookViews>
    <workbookView xWindow="-120" yWindow="-120" windowWidth="38640" windowHeight="21120" tabRatio="672" firstSheet="4" activeTab="7" xr2:uid="{00000000-000D-0000-FFFF-FFFF00000000}"/>
  </bookViews>
  <sheets>
    <sheet name="Massa Nominal Aço" sheetId="11" r:id="rId1"/>
    <sheet name="Base - Muro de Arrimo" sheetId="7" r:id="rId2"/>
    <sheet name="Base - Radier" sheetId="8" r:id="rId3"/>
    <sheet name="Base - Cx Necro" sheetId="10" r:id="rId4"/>
    <sheet name="Base - Gavetario" sheetId="9" r:id="rId5"/>
    <sheet name="Memória de Cálculo" sheetId="2" r:id="rId6"/>
    <sheet name="BDI" sheetId="3" r:id="rId7"/>
    <sheet name="Tabela com Desoneração" sheetId="4" r:id="rId8"/>
    <sheet name="Tabela sem Desoneração" sheetId="5" r:id="rId9"/>
    <sheet name="Cronograma Físico-Financeiro" sheetId="6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5" i="5" l="1"/>
  <c r="D15" i="6"/>
  <c r="D13" i="6"/>
  <c r="D11" i="6"/>
  <c r="D9" i="6"/>
  <c r="H45" i="4" l="1"/>
  <c r="D12" i="3"/>
  <c r="F39" i="2"/>
  <c r="F36" i="2"/>
  <c r="F33" i="2"/>
  <c r="F30" i="2"/>
  <c r="F27" i="2"/>
  <c r="G7" i="8"/>
  <c r="B30" i="8"/>
  <c r="C30" i="8"/>
  <c r="D30" i="8"/>
  <c r="E30" i="8"/>
  <c r="F30" i="8"/>
  <c r="G30" i="8"/>
  <c r="H30" i="8"/>
  <c r="A30" i="8"/>
  <c r="E15" i="8"/>
  <c r="F15" i="8"/>
  <c r="G15" i="8"/>
  <c r="H15" i="8"/>
  <c r="I15" i="8"/>
  <c r="J15" i="8"/>
  <c r="K15" i="8"/>
  <c r="L15" i="8"/>
  <c r="B31" i="9"/>
  <c r="C31" i="9"/>
  <c r="D31" i="9"/>
  <c r="E31" i="9"/>
  <c r="F31" i="9"/>
  <c r="G31" i="9"/>
  <c r="H31" i="9"/>
  <c r="I31" i="9"/>
  <c r="J31" i="9"/>
  <c r="K31" i="9"/>
  <c r="L31" i="9"/>
  <c r="M31" i="9"/>
  <c r="N31" i="9"/>
  <c r="A31" i="9"/>
  <c r="S8" i="9"/>
  <c r="S9" i="9"/>
  <c r="S10" i="9"/>
  <c r="S11" i="9"/>
  <c r="S12" i="9"/>
  <c r="S13" i="9"/>
  <c r="S14" i="9"/>
  <c r="S15" i="9"/>
  <c r="S16" i="9"/>
  <c r="S17" i="9"/>
  <c r="S18" i="9"/>
  <c r="S19" i="9"/>
  <c r="S20" i="9"/>
  <c r="S21" i="9"/>
  <c r="S7" i="9"/>
  <c r="Z8" i="9"/>
  <c r="Z9" i="9"/>
  <c r="Z10" i="9"/>
  <c r="Z11" i="9"/>
  <c r="Z12" i="9"/>
  <c r="Z13" i="9"/>
  <c r="Z14" i="9"/>
  <c r="Z15" i="9"/>
  <c r="Z16" i="9"/>
  <c r="Z17" i="9"/>
  <c r="Z18" i="9"/>
  <c r="Z19" i="9"/>
  <c r="Z20" i="9"/>
  <c r="Z21" i="9"/>
  <c r="Z7" i="9"/>
  <c r="Y8" i="9"/>
  <c r="Y9" i="9"/>
  <c r="Y10" i="9"/>
  <c r="Y11" i="9"/>
  <c r="Y12" i="9"/>
  <c r="Y13" i="9"/>
  <c r="Y14" i="9"/>
  <c r="Y15" i="9"/>
  <c r="Y16" i="9"/>
  <c r="Y17" i="9"/>
  <c r="Y18" i="9"/>
  <c r="Y19" i="9"/>
  <c r="Y20" i="9"/>
  <c r="Y21" i="9"/>
  <c r="Y7" i="9"/>
  <c r="X7" i="9"/>
  <c r="X8" i="9"/>
  <c r="X9" i="9"/>
  <c r="X10" i="9"/>
  <c r="X11" i="9"/>
  <c r="X12" i="9"/>
  <c r="X13" i="9"/>
  <c r="X14" i="9"/>
  <c r="X15" i="9"/>
  <c r="X16" i="9"/>
  <c r="X17" i="9"/>
  <c r="X18" i="9"/>
  <c r="X19" i="9"/>
  <c r="X20" i="9"/>
  <c r="X21" i="9"/>
  <c r="U8" i="9"/>
  <c r="U9" i="9"/>
  <c r="U10" i="9"/>
  <c r="U11" i="9"/>
  <c r="U12" i="9"/>
  <c r="U13" i="9"/>
  <c r="U14" i="9"/>
  <c r="U15" i="9"/>
  <c r="U16" i="9"/>
  <c r="U17" i="9"/>
  <c r="U18" i="9"/>
  <c r="U19" i="9"/>
  <c r="U20" i="9"/>
  <c r="U21" i="9"/>
  <c r="U7" i="9"/>
  <c r="T8" i="9"/>
  <c r="T9" i="9"/>
  <c r="T10" i="9"/>
  <c r="T11" i="9"/>
  <c r="T12" i="9"/>
  <c r="T13" i="9"/>
  <c r="T14" i="9"/>
  <c r="T15" i="9"/>
  <c r="T16" i="9"/>
  <c r="T17" i="9"/>
  <c r="T18" i="9"/>
  <c r="T19" i="9"/>
  <c r="T20" i="9"/>
  <c r="T21" i="9"/>
  <c r="T7" i="9"/>
  <c r="R9" i="9"/>
  <c r="R10" i="9"/>
  <c r="R11" i="9"/>
  <c r="R12" i="9"/>
  <c r="R13" i="9"/>
  <c r="R14" i="9"/>
  <c r="R15" i="9"/>
  <c r="R16" i="9"/>
  <c r="R17" i="9"/>
  <c r="R18" i="9"/>
  <c r="R19" i="9"/>
  <c r="R20" i="9"/>
  <c r="R21" i="9"/>
  <c r="R8" i="9"/>
  <c r="R7" i="9"/>
  <c r="Q15" i="9"/>
  <c r="Q16" i="9"/>
  <c r="Q17" i="9"/>
  <c r="Q18" i="9"/>
  <c r="Q19" i="9"/>
  <c r="Q20" i="9"/>
  <c r="Q21" i="9"/>
  <c r="P8" i="9"/>
  <c r="P9" i="9"/>
  <c r="P10" i="9"/>
  <c r="P11" i="9"/>
  <c r="P12" i="9"/>
  <c r="P13" i="9"/>
  <c r="P14" i="9"/>
  <c r="P15" i="9"/>
  <c r="P16" i="9"/>
  <c r="P17" i="9"/>
  <c r="P18" i="9"/>
  <c r="P19" i="9"/>
  <c r="P20" i="9"/>
  <c r="P21" i="9"/>
  <c r="P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7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M7" i="9"/>
  <c r="M8" i="9"/>
  <c r="M9" i="9"/>
  <c r="M10" i="9"/>
  <c r="M11" i="9"/>
  <c r="M12" i="9"/>
  <c r="M13" i="9"/>
  <c r="M21" i="9"/>
  <c r="M15" i="9"/>
  <c r="M16" i="9"/>
  <c r="M17" i="9"/>
  <c r="M18" i="9"/>
  <c r="M19" i="9"/>
  <c r="M20" i="9"/>
  <c r="M14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7" i="9"/>
  <c r="H16" i="9"/>
  <c r="H17" i="9"/>
  <c r="H18" i="9"/>
  <c r="H19" i="9"/>
  <c r="H20" i="9"/>
  <c r="H21" i="9"/>
  <c r="H7" i="9"/>
  <c r="H8" i="9"/>
  <c r="H9" i="9"/>
  <c r="H10" i="9"/>
  <c r="H11" i="9"/>
  <c r="H12" i="9"/>
  <c r="H13" i="9"/>
  <c r="H14" i="9"/>
  <c r="H15" i="9"/>
  <c r="B19" i="9"/>
  <c r="B20" i="9"/>
  <c r="B18" i="9"/>
  <c r="B17" i="9"/>
  <c r="B16" i="9"/>
  <c r="B15" i="9"/>
  <c r="E17" i="8"/>
  <c r="F17" i="8"/>
  <c r="G17" i="8"/>
  <c r="I17" i="8"/>
  <c r="H17" i="8"/>
  <c r="J17" i="8"/>
  <c r="L17" i="8"/>
  <c r="E18" i="8"/>
  <c r="F18" i="8"/>
  <c r="G18" i="8"/>
  <c r="H18" i="8"/>
  <c r="J18" i="8"/>
  <c r="I18" i="8"/>
  <c r="L18" i="8"/>
  <c r="E19" i="8"/>
  <c r="F19" i="8"/>
  <c r="G19" i="8"/>
  <c r="H19" i="8"/>
  <c r="J19" i="8"/>
  <c r="I19" i="8"/>
  <c r="K19" i="8"/>
  <c r="L19" i="8"/>
  <c r="E20" i="8"/>
  <c r="F20" i="8"/>
  <c r="G20" i="8"/>
  <c r="I20" i="8"/>
  <c r="H20" i="8"/>
  <c r="J20" i="8"/>
  <c r="L20" i="8"/>
  <c r="L16" i="8"/>
  <c r="H16" i="8"/>
  <c r="J16" i="8"/>
  <c r="G16" i="8"/>
  <c r="I16" i="8"/>
  <c r="F16" i="8"/>
  <c r="E16" i="8"/>
  <c r="C12" i="3"/>
  <c r="H45" i="5" s="1"/>
  <c r="K20" i="8"/>
  <c r="K18" i="8"/>
  <c r="K17" i="8"/>
  <c r="K16" i="8"/>
  <c r="N7" i="7"/>
  <c r="Q8" i="9"/>
  <c r="Q9" i="9"/>
  <c r="Q10" i="9"/>
  <c r="Q11" i="9"/>
  <c r="Q12" i="9"/>
  <c r="Q13" i="9"/>
  <c r="Q14" i="9"/>
  <c r="Q7" i="9"/>
  <c r="H7" i="8"/>
  <c r="J7" i="8"/>
  <c r="I7" i="8"/>
  <c r="K7" i="8"/>
  <c r="J8" i="7"/>
  <c r="J9" i="7"/>
  <c r="J10" i="7"/>
  <c r="J11" i="7"/>
  <c r="J12" i="7"/>
  <c r="J13" i="7"/>
  <c r="J14" i="7"/>
  <c r="J15" i="7"/>
  <c r="J7" i="7"/>
  <c r="I8" i="7"/>
  <c r="I9" i="7"/>
  <c r="I10" i="7"/>
  <c r="I11" i="7"/>
  <c r="I12" i="7"/>
  <c r="I13" i="7"/>
  <c r="I14" i="7"/>
  <c r="I15" i="7"/>
  <c r="I7" i="7"/>
  <c r="Q13" i="7"/>
  <c r="Q7" i="7"/>
  <c r="P9" i="7"/>
  <c r="P10" i="7"/>
  <c r="P7" i="7"/>
  <c r="H8" i="7"/>
  <c r="H9" i="7"/>
  <c r="H10" i="7"/>
  <c r="H11" i="7"/>
  <c r="H12" i="7"/>
  <c r="H13" i="7"/>
  <c r="H14" i="7"/>
  <c r="H15" i="7"/>
  <c r="H7" i="7"/>
  <c r="N8" i="7"/>
  <c r="N9" i="7"/>
  <c r="N10" i="7"/>
  <c r="N11" i="7"/>
  <c r="N12" i="7"/>
  <c r="N13" i="7"/>
  <c r="N14" i="7"/>
  <c r="N15" i="7"/>
  <c r="F8" i="10"/>
  <c r="E8" i="10"/>
  <c r="D8" i="10"/>
  <c r="C8" i="10"/>
  <c r="B8" i="10"/>
  <c r="A8" i="10"/>
  <c r="B8" i="9"/>
  <c r="B9" i="9"/>
  <c r="B10" i="9"/>
  <c r="B11" i="9"/>
  <c r="B12" i="9"/>
  <c r="B13" i="9"/>
  <c r="B14" i="9"/>
  <c r="B21" i="9"/>
  <c r="B7" i="9"/>
  <c r="E7" i="8"/>
  <c r="L8" i="8"/>
  <c r="L9" i="8"/>
  <c r="L10" i="8"/>
  <c r="L11" i="8"/>
  <c r="L12" i="8"/>
  <c r="L13" i="8"/>
  <c r="L14" i="8"/>
  <c r="L21" i="8"/>
  <c r="L7" i="8"/>
  <c r="H8" i="8"/>
  <c r="J8" i="8"/>
  <c r="H9" i="8"/>
  <c r="J9" i="8"/>
  <c r="H10" i="8"/>
  <c r="J10" i="8"/>
  <c r="H11" i="8"/>
  <c r="J11" i="8"/>
  <c r="H12" i="8"/>
  <c r="J12" i="8"/>
  <c r="H13" i="8"/>
  <c r="J13" i="8"/>
  <c r="H14" i="8"/>
  <c r="J14" i="8"/>
  <c r="H21" i="8"/>
  <c r="J21" i="8"/>
  <c r="G8" i="8"/>
  <c r="I8" i="8"/>
  <c r="G9" i="8"/>
  <c r="I9" i="8"/>
  <c r="G10" i="8"/>
  <c r="I10" i="8"/>
  <c r="G11" i="8"/>
  <c r="I11" i="8"/>
  <c r="K11" i="8"/>
  <c r="G12" i="8"/>
  <c r="I12" i="8"/>
  <c r="K12" i="8"/>
  <c r="G13" i="8"/>
  <c r="I13" i="8"/>
  <c r="G14" i="8"/>
  <c r="I14" i="8"/>
  <c r="G21" i="8"/>
  <c r="I21" i="8"/>
  <c r="F8" i="8"/>
  <c r="F9" i="8"/>
  <c r="F10" i="8"/>
  <c r="F11" i="8"/>
  <c r="F12" i="8"/>
  <c r="F13" i="8"/>
  <c r="F14" i="8"/>
  <c r="F21" i="8"/>
  <c r="F7" i="8"/>
  <c r="E8" i="8"/>
  <c r="E9" i="8"/>
  <c r="E10" i="8"/>
  <c r="E11" i="8"/>
  <c r="E12" i="8"/>
  <c r="E13" i="8"/>
  <c r="E14" i="8"/>
  <c r="E21" i="8"/>
  <c r="D15" i="7"/>
  <c r="R15" i="7"/>
  <c r="D14" i="7"/>
  <c r="R14" i="7"/>
  <c r="D13" i="7"/>
  <c r="G13" i="7"/>
  <c r="D12" i="7"/>
  <c r="G12" i="7"/>
  <c r="D11" i="7"/>
  <c r="G11" i="7"/>
  <c r="D10" i="7"/>
  <c r="G10" i="7"/>
  <c r="D9" i="7"/>
  <c r="G9" i="7"/>
  <c r="D8" i="7"/>
  <c r="G8" i="7"/>
  <c r="D7" i="7"/>
  <c r="R7" i="7"/>
  <c r="C15" i="7"/>
  <c r="K15" i="7"/>
  <c r="C14" i="7"/>
  <c r="K14" i="7"/>
  <c r="C13" i="7"/>
  <c r="K13" i="7"/>
  <c r="C12" i="7"/>
  <c r="K12" i="7"/>
  <c r="C11" i="7"/>
  <c r="K11" i="7"/>
  <c r="C10" i="7"/>
  <c r="L10" i="7"/>
  <c r="C9" i="7"/>
  <c r="L9" i="7"/>
  <c r="C8" i="7"/>
  <c r="L8" i="7"/>
  <c r="C7" i="7"/>
  <c r="K7" i="7"/>
  <c r="F61" i="2"/>
  <c r="F32" i="5"/>
  <c r="F52" i="2"/>
  <c r="F29" i="5"/>
  <c r="H29" i="5" s="1"/>
  <c r="F55" i="2"/>
  <c r="F30" i="5"/>
  <c r="H30" i="5" s="1"/>
  <c r="F83" i="2"/>
  <c r="F73" i="2"/>
  <c r="F36" i="5"/>
  <c r="H36" i="5" s="1"/>
  <c r="F77" i="2"/>
  <c r="F70" i="2"/>
  <c r="F35" i="5"/>
  <c r="H35" i="5"/>
  <c r="F43" i="2"/>
  <c r="F26" i="5"/>
  <c r="H26" i="5" s="1"/>
  <c r="F49" i="2"/>
  <c r="F28" i="5"/>
  <c r="K10" i="8"/>
  <c r="K13" i="8"/>
  <c r="K9" i="8"/>
  <c r="E24" i="7"/>
  <c r="Q15" i="7"/>
  <c r="Q14" i="7"/>
  <c r="M7" i="7"/>
  <c r="P15" i="7"/>
  <c r="J24" i="7"/>
  <c r="Q12" i="7"/>
  <c r="M15" i="7"/>
  <c r="F64" i="2"/>
  <c r="F33" i="5"/>
  <c r="H33" i="5" s="1"/>
  <c r="P14" i="7"/>
  <c r="Q11" i="7"/>
  <c r="M14" i="7"/>
  <c r="F23" i="2"/>
  <c r="P13" i="7"/>
  <c r="Q10" i="7"/>
  <c r="M13" i="7"/>
  <c r="P12" i="7"/>
  <c r="Q9" i="7"/>
  <c r="F46" i="2"/>
  <c r="F27" i="5"/>
  <c r="H27" i="5" s="1"/>
  <c r="M12" i="7"/>
  <c r="F17" i="2"/>
  <c r="F14" i="5"/>
  <c r="H14" i="5" s="1"/>
  <c r="P11" i="7"/>
  <c r="Q8" i="7"/>
  <c r="M11" i="7"/>
  <c r="M10" i="7"/>
  <c r="F58" i="2"/>
  <c r="F31" i="5"/>
  <c r="H31" i="5" s="1"/>
  <c r="M9" i="7"/>
  <c r="F14" i="2"/>
  <c r="P8" i="7"/>
  <c r="M8" i="7"/>
  <c r="H24" i="7"/>
  <c r="C24" i="7"/>
  <c r="D24" i="7"/>
  <c r="K21" i="8"/>
  <c r="K14" i="8"/>
  <c r="K8" i="8"/>
  <c r="F20" i="2"/>
  <c r="R13" i="7"/>
  <c r="L24" i="7"/>
  <c r="G7" i="7"/>
  <c r="G15" i="7"/>
  <c r="A24" i="7"/>
  <c r="R12" i="7"/>
  <c r="O7" i="7"/>
  <c r="K10" i="7"/>
  <c r="O15" i="7"/>
  <c r="K9" i="7"/>
  <c r="O14" i="7"/>
  <c r="O13" i="7"/>
  <c r="O12" i="7"/>
  <c r="O11" i="7"/>
  <c r="O10" i="7"/>
  <c r="O9" i="7"/>
  <c r="O8" i="7"/>
  <c r="G14" i="7"/>
  <c r="R11" i="7"/>
  <c r="K8" i="7"/>
  <c r="R10" i="7"/>
  <c r="L7" i="7"/>
  <c r="R9" i="7"/>
  <c r="L15" i="7"/>
  <c r="R8" i="7"/>
  <c r="L14" i="7"/>
  <c r="L13" i="7"/>
  <c r="L12" i="7"/>
  <c r="L11" i="7"/>
  <c r="F23" i="5"/>
  <c r="H23" i="5" s="1"/>
  <c r="F80" i="2"/>
  <c r="F40" i="4"/>
  <c r="H40" i="4" s="1"/>
  <c r="F67" i="2"/>
  <c r="F34" i="5"/>
  <c r="H34" i="5"/>
  <c r="K24" i="7"/>
  <c r="F24" i="7"/>
  <c r="F39" i="4"/>
  <c r="F39" i="5"/>
  <c r="H39" i="5" s="1"/>
  <c r="G24" i="7"/>
  <c r="I24" i="7"/>
  <c r="F23" i="4"/>
  <c r="H23" i="4"/>
  <c r="F14" i="4"/>
  <c r="H14" i="4"/>
  <c r="F28" i="4"/>
  <c r="H28" i="4" s="1"/>
  <c r="F27" i="4"/>
  <c r="H27" i="4"/>
  <c r="F31" i="4"/>
  <c r="H31" i="4" s="1"/>
  <c r="F30" i="4"/>
  <c r="H30" i="4"/>
  <c r="F13" i="4"/>
  <c r="H13" i="4" s="1"/>
  <c r="F32" i="4"/>
  <c r="H32" i="4"/>
  <c r="F33" i="4"/>
  <c r="H33" i="4"/>
  <c r="F41" i="5"/>
  <c r="H41" i="5" s="1"/>
  <c r="F36" i="4"/>
  <c r="H36" i="4"/>
  <c r="F22" i="5"/>
  <c r="H22" i="5" s="1"/>
  <c r="F21" i="5"/>
  <c r="H21" i="5" s="1"/>
  <c r="F20" i="5"/>
  <c r="H20" i="5"/>
  <c r="F19" i="4"/>
  <c r="H19" i="4"/>
  <c r="F15" i="5"/>
  <c r="H15" i="5" s="1"/>
  <c r="F16" i="5"/>
  <c r="H16" i="5" s="1"/>
  <c r="H42" i="5"/>
  <c r="F10" i="5"/>
  <c r="H10" i="5" s="1"/>
  <c r="H11" i="5" s="1"/>
  <c r="H42" i="4"/>
  <c r="F10" i="4"/>
  <c r="H10" i="4" s="1"/>
  <c r="H11" i="4" s="1"/>
  <c r="F34" i="4"/>
  <c r="H34" i="4"/>
  <c r="H28" i="5"/>
  <c r="F19" i="5"/>
  <c r="H19" i="5" s="1"/>
  <c r="F29" i="4"/>
  <c r="H29" i="4" s="1"/>
  <c r="F13" i="5"/>
  <c r="H13" i="5" s="1"/>
  <c r="F40" i="5"/>
  <c r="H40" i="5"/>
  <c r="F21" i="4"/>
  <c r="H21" i="4"/>
  <c r="F41" i="4"/>
  <c r="H41" i="4"/>
  <c r="F35" i="4"/>
  <c r="H35" i="4"/>
  <c r="H32" i="5"/>
  <c r="F26" i="4"/>
  <c r="H26" i="4"/>
  <c r="F22" i="4"/>
  <c r="H22" i="4"/>
  <c r="F20" i="4"/>
  <c r="H20" i="4"/>
  <c r="F15" i="4"/>
  <c r="H15" i="4" s="1"/>
  <c r="F16" i="4"/>
  <c r="H16" i="4"/>
  <c r="H39" i="4"/>
  <c r="H43" i="4" l="1"/>
  <c r="D17" i="6" s="1"/>
  <c r="H17" i="4"/>
  <c r="H43" i="5"/>
  <c r="H17" i="5"/>
  <c r="O12" i="6" s="1"/>
  <c r="H24" i="5"/>
  <c r="H37" i="5"/>
  <c r="H24" i="4"/>
  <c r="H37" i="4"/>
  <c r="I18" i="6" l="1"/>
  <c r="E18" i="6"/>
  <c r="H44" i="5"/>
  <c r="H46" i="5" s="1"/>
  <c r="H44" i="4"/>
  <c r="H46" i="4" s="1"/>
  <c r="D20" i="6" s="1"/>
  <c r="H18" i="6"/>
  <c r="L12" i="6"/>
  <c r="F18" i="6"/>
  <c r="M12" i="6"/>
  <c r="J18" i="6"/>
  <c r="L18" i="6"/>
  <c r="F12" i="6"/>
  <c r="N12" i="6"/>
  <c r="N18" i="6"/>
  <c r="P12" i="6"/>
  <c r="K12" i="6"/>
  <c r="H12" i="6"/>
  <c r="P18" i="6"/>
  <c r="E12" i="6"/>
  <c r="G12" i="6"/>
  <c r="G18" i="6"/>
  <c r="M18" i="6"/>
  <c r="K18" i="6"/>
  <c r="J12" i="6"/>
  <c r="O18" i="6"/>
  <c r="I12" i="6"/>
  <c r="N14" i="6"/>
  <c r="M14" i="6"/>
  <c r="O14" i="6"/>
  <c r="K14" i="6"/>
  <c r="P14" i="6"/>
  <c r="G14" i="6"/>
  <c r="L14" i="6"/>
  <c r="F14" i="6"/>
  <c r="I14" i="6"/>
  <c r="E14" i="6"/>
  <c r="J14" i="6"/>
  <c r="H14" i="6"/>
  <c r="D19" i="6"/>
  <c r="E10" i="6"/>
  <c r="I16" i="6"/>
  <c r="M16" i="6"/>
  <c r="F16" i="6"/>
  <c r="J16" i="6"/>
  <c r="N16" i="6"/>
  <c r="G16" i="6"/>
  <c r="H16" i="6"/>
  <c r="K16" i="6"/>
  <c r="E16" i="6"/>
  <c r="L16" i="6"/>
  <c r="P16" i="6"/>
  <c r="O16" i="6"/>
  <c r="O19" i="6" l="1"/>
  <c r="O20" i="6" s="1"/>
  <c r="M19" i="6"/>
  <c r="L19" i="6"/>
  <c r="K19" i="6"/>
  <c r="G19" i="6"/>
  <c r="H19" i="6"/>
  <c r="P19" i="6"/>
  <c r="J19" i="6"/>
  <c r="F19" i="6"/>
  <c r="E19" i="6"/>
  <c r="N19" i="6"/>
  <c r="I19" i="6"/>
  <c r="O21" i="6"/>
  <c r="N20" i="6" l="1"/>
  <c r="N21" i="6" s="1"/>
  <c r="F20" i="6"/>
  <c r="F21" i="6" s="1"/>
  <c r="P20" i="6"/>
  <c r="P21" i="6" s="1"/>
  <c r="G20" i="6"/>
  <c r="G21" i="6" s="1"/>
  <c r="L20" i="6"/>
  <c r="L21" i="6" s="1"/>
  <c r="I20" i="6"/>
  <c r="I21" i="6" s="1"/>
  <c r="E20" i="6"/>
  <c r="E21" i="6" s="1"/>
  <c r="D21" i="6" s="1"/>
  <c r="J20" i="6"/>
  <c r="J21" i="6" s="1"/>
  <c r="H20" i="6"/>
  <c r="H21" i="6" s="1"/>
  <c r="K20" i="6"/>
  <c r="K21" i="6" s="1"/>
  <c r="M20" i="6"/>
  <c r="M21" i="6" s="1"/>
</calcChain>
</file>

<file path=xl/sharedStrings.xml><?xml version="1.0" encoding="utf-8"?>
<sst xmlns="http://schemas.openxmlformats.org/spreadsheetml/2006/main" count="585" uniqueCount="234">
  <si>
    <t>Dados Radier</t>
  </si>
  <si>
    <t>Dados Gavetario</t>
  </si>
  <si>
    <t>Gavetario</t>
  </si>
  <si>
    <t>Prefeitura do Município de Carapicuíba</t>
  </si>
  <si>
    <t>Objeto: Construção de Túmulos Verticais no Cemitério Municipal de Carapicuíba</t>
  </si>
  <si>
    <t>Local: R. Dumont, s/n - Cidade Ariston Estela Azevedo, Carapicuíba/SP - CEP 06396-200</t>
  </si>
  <si>
    <t>Planilha Orçamentária</t>
  </si>
  <si>
    <t>Item</t>
  </si>
  <si>
    <t>Referência</t>
  </si>
  <si>
    <t>Código</t>
  </si>
  <si>
    <t>Descrição</t>
  </si>
  <si>
    <t>Unidade</t>
  </si>
  <si>
    <t>Quantidade</t>
  </si>
  <si>
    <t>Serviços Preliminares</t>
  </si>
  <si>
    <t>17-30-02</t>
  </si>
  <si>
    <t>Placa de obra em chapa de aço galvanizado</t>
  </si>
  <si>
    <t>m²</t>
  </si>
  <si>
    <t>Memória</t>
  </si>
  <si>
    <t>m³</t>
  </si>
  <si>
    <t>Sinapi 202203</t>
  </si>
  <si>
    <t>m</t>
  </si>
  <si>
    <t>Placa de obra em chapa de aço galvanizado com as dimensões de 4x2 metros, com as informações da obra.</t>
  </si>
  <si>
    <t>04-01-41</t>
  </si>
  <si>
    <t>Bloco vazados de concreto - 14cm</t>
  </si>
  <si>
    <t>02-04-04</t>
  </si>
  <si>
    <t>kg</t>
  </si>
  <si>
    <t>Armadura em aço CA-50.</t>
  </si>
  <si>
    <t>02-03-01</t>
  </si>
  <si>
    <t>Forma comum de tábuas de pinus.</t>
  </si>
  <si>
    <t>97089</t>
  </si>
  <si>
    <t>Armação para execução de radier, piso de concreto ou laje sobre o solo, com uso de tela Q-113. AF_09/2021</t>
  </si>
  <si>
    <t>02-05-06</t>
  </si>
  <si>
    <t>Concreto FCK-20 Mpa - Virado em obra.</t>
  </si>
  <si>
    <t>Bloco vazados de concreto - 14cm.</t>
  </si>
  <si>
    <t>101963</t>
  </si>
  <si>
    <t>Laje pré-moldada unidirecional, biapoiada, para piso, enchimento em cerâmica, vigota convencional, altura total da laje (enchimento+capa)=(8+4). AF_11/2020</t>
  </si>
  <si>
    <t>02-04-07</t>
  </si>
  <si>
    <t>Armadura em aço CA-60.</t>
  </si>
  <si>
    <t>Acabamentos</t>
  </si>
  <si>
    <t>10-04-64</t>
  </si>
  <si>
    <t>89499</t>
  </si>
  <si>
    <t>94692</t>
  </si>
  <si>
    <t>Tubo de PVC rígido, soldável (linha água) - 40mm (1 1/4")</t>
  </si>
  <si>
    <t>Curva 90º, PVC, soldável, DN 40mm, instalado em prumada de água - fornecimento e instalação. AF_12/2014</t>
  </si>
  <si>
    <t>Tê, pvc, soldável, DN 40mm instalado em reservação de água de edificação que possua reservatório de fibra/fibrocimento</t>
  </si>
  <si>
    <t>Argamassa impermeabilizante de cimento e areia(reboco impermeave) - Traço 1:3, espessura de 20mm</t>
  </si>
  <si>
    <t>05-01-01</t>
  </si>
  <si>
    <t>11-01-09</t>
  </si>
  <si>
    <t>15-01-15</t>
  </si>
  <si>
    <t>17-04-01</t>
  </si>
  <si>
    <t>Emboço desempenado para pintura- argamassa mista cimento, cal e areia 1:3/12</t>
  </si>
  <si>
    <t>Tinta acrílica - concreto ou reboco sem massa corrida</t>
  </si>
  <si>
    <t>Limpeza geral da obra</t>
  </si>
  <si>
    <t>Caixa Necrochorume</t>
  </si>
  <si>
    <t>Armação em aço CA-50 ø5mm.</t>
  </si>
  <si>
    <t>Concreto para o radier.</t>
  </si>
  <si>
    <t>Laje treliçada para o gavetario.</t>
  </si>
  <si>
    <t>Tubos para coleta do necrochorume e gases.</t>
  </si>
  <si>
    <t>Peças para coleta do necrochorume e gases.</t>
  </si>
  <si>
    <t>Argamassa impermeabilizante aplicada dentro das gavetas,</t>
  </si>
  <si>
    <t>Emboço aplicado do lado externo do gavetario.</t>
  </si>
  <si>
    <t>Pintura externa do gavetario.</t>
  </si>
  <si>
    <t>Concreto FCK=20 Mpa - Virado em obra</t>
  </si>
  <si>
    <t>Planilha Memória de Cálculo</t>
  </si>
  <si>
    <t>Valor Total</t>
  </si>
  <si>
    <t>BDI</t>
  </si>
  <si>
    <t>Valor Total com BDI</t>
  </si>
  <si>
    <t>Aço para os pilares do gavetario CA-50 ø 6,3mm.</t>
  </si>
  <si>
    <t>Forma para as lajes dos gavetario altura de 12cm.</t>
  </si>
  <si>
    <t>Armadura complementar para laje treliçada CA-60 ø5mm com 5 barras por metro (armadura minima adota pela NBR 14859) .</t>
  </si>
  <si>
    <t>Concreto para capa da laje treliçada com 4cm de altura.</t>
  </si>
  <si>
    <t>01-02-02</t>
  </si>
  <si>
    <t>Corte e espalhamento dentro da obra.</t>
  </si>
  <si>
    <t xml:space="preserve">Valor Unit </t>
  </si>
  <si>
    <t>Valor Total Geral</t>
  </si>
  <si>
    <t>Total Serviços Preliminares</t>
  </si>
  <si>
    <t>Total Caixa Necrochorume</t>
  </si>
  <si>
    <t>Total Gavetario</t>
  </si>
  <si>
    <t>Total Acabamentos</t>
  </si>
  <si>
    <t>Fundação - Radier</t>
  </si>
  <si>
    <t>Total Radier</t>
  </si>
  <si>
    <t>Concreto para os pilares do gavetario.</t>
  </si>
  <si>
    <t>11-01-01</t>
  </si>
  <si>
    <t>Chapisco comum - Argamassa de cimento e areia 1:3</t>
  </si>
  <si>
    <t>Cronograma Físico Financeiro</t>
  </si>
  <si>
    <t>Serviços</t>
  </si>
  <si>
    <t>Valores R$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</si>
  <si>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</si>
  <si>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</si>
  <si>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</si>
  <si>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</si>
  <si>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</si>
  <si>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</si>
  <si>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</si>
  <si>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</si>
  <si>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</si>
  <si>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</si>
  <si>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</si>
  <si>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</si>
  <si>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Servições Preliminares</t>
  </si>
  <si>
    <t>Forma para radier com altura de 15cm.</t>
  </si>
  <si>
    <t>13-01-10</t>
  </si>
  <si>
    <t>Lastro de brita</t>
  </si>
  <si>
    <t>Blocos  para execução do gavetario com perda estimada de 10%.</t>
  </si>
  <si>
    <t>Itens</t>
  </si>
  <si>
    <t>Siglas</t>
  </si>
  <si>
    <t>% adotada</t>
  </si>
  <si>
    <t>Seguro e Garantia</t>
  </si>
  <si>
    <t>Risco</t>
  </si>
  <si>
    <t>Despesas Financeiras</t>
  </si>
  <si>
    <t>Lucro</t>
  </si>
  <si>
    <t>Tributos (impostos COFINS 3%, e PIS 0,65%)</t>
  </si>
  <si>
    <t>Tributos (ISS, variável de acordo com o municipio)</t>
  </si>
  <si>
    <t>Tributos (Contribuição Previdenciária sobre a Receita Bruta - 0% ou 4,5% - Desoneração)</t>
  </si>
  <si>
    <t>Administração Central</t>
  </si>
  <si>
    <t>AC</t>
  </si>
  <si>
    <t>SG</t>
  </si>
  <si>
    <t>R</t>
  </si>
  <si>
    <t>DF</t>
  </si>
  <si>
    <t>L</t>
  </si>
  <si>
    <t>CP</t>
  </si>
  <si>
    <t>ISS</t>
  </si>
  <si>
    <t>CPRB</t>
  </si>
  <si>
    <t>Os valores de BDI foram calculados com o emprego da fórmula:</t>
  </si>
  <si>
    <t>Cálculo de BDI (Base de cálculo planilha Caixa Econômica Federal)</t>
  </si>
  <si>
    <t>Dados do Muro</t>
  </si>
  <si>
    <t>Nº de colunas</t>
  </si>
  <si>
    <t>Área em planta (m²)</t>
  </si>
  <si>
    <t>Perímetro Alvenaria (m)</t>
  </si>
  <si>
    <t>Altura (m)</t>
  </si>
  <si>
    <t>Quantitativos - Estrutura Muro de Arrimo</t>
  </si>
  <si>
    <t>Volume de Aterro (m³)</t>
  </si>
  <si>
    <t>Aço Canaletas ø6,3mm (kg)</t>
  </si>
  <si>
    <t>Concreto Canaleta (m³) FCK=20MPa</t>
  </si>
  <si>
    <t>Estribo Estaca ø5mm (kg)</t>
  </si>
  <si>
    <t>Área Blocos (m²)</t>
  </si>
  <si>
    <t>Área Canaleta (m²)</t>
  </si>
  <si>
    <t>Volume de Corte (m³) 
E=25%</t>
  </si>
  <si>
    <t>Altura Muro de Arrimo (m)</t>
  </si>
  <si>
    <t>Profundidade da Estaca (m)</t>
  </si>
  <si>
    <t>Nº de Estacas / Pilares</t>
  </si>
  <si>
    <t>Quadra 63 - Quantitativos Muro de Arrimo</t>
  </si>
  <si>
    <t>Concreto Pilar (m³) FCK=20MPa</t>
  </si>
  <si>
    <t>Largura (m)</t>
  </si>
  <si>
    <t>Comprimento (m)</t>
  </si>
  <si>
    <t>Quantitativos - Estrutura do Radier</t>
  </si>
  <si>
    <t>Formas Radier (m²)</t>
  </si>
  <si>
    <t>Quantidade de Barras na Largura (Uni)</t>
  </si>
  <si>
    <t>Quantidade de Barras no Comprimento (Uni)</t>
  </si>
  <si>
    <t>Aço ø5mm Largura (kg)</t>
  </si>
  <si>
    <t>Aço ø5mm Comprimento (kg)</t>
  </si>
  <si>
    <t>Aço Total (kg)</t>
  </si>
  <si>
    <t>Lastro de Brita 
h=5cm (m³)</t>
  </si>
  <si>
    <t>Concreto Radier
h=15cm FCK=20MPa (m³)</t>
  </si>
  <si>
    <t>Quadra 63 - Quantitativos Estrutura do Radier</t>
  </si>
  <si>
    <t>Pilares (uni)</t>
  </si>
  <si>
    <t>Altura Interna (m)</t>
  </si>
  <si>
    <t>Largura Interna (m)</t>
  </si>
  <si>
    <t>Comprimento Interno (m)</t>
  </si>
  <si>
    <t>Perímetro Interno (m)</t>
  </si>
  <si>
    <t>Área Interna (m²)</t>
  </si>
  <si>
    <t>Nº de Gavetas</t>
  </si>
  <si>
    <t>Comprimento Externo (m)</t>
  </si>
  <si>
    <t>Largura Externa (m)</t>
  </si>
  <si>
    <t>Altura Externa (m)</t>
  </si>
  <si>
    <t>Quantitativos - Gavetario com 4 Gavetas</t>
  </si>
  <si>
    <t>Formas Gavetario
h=12 (m²)</t>
  </si>
  <si>
    <t>Formas Radier
h=15cm (m²)</t>
  </si>
  <si>
    <t>Laje Treliçada (m²)</t>
  </si>
  <si>
    <t>Aço Laje ø5mm (kg)</t>
  </si>
  <si>
    <t>Aço Pilares ø6,3mm (kg)</t>
  </si>
  <si>
    <t>Concreto Gavetario h=4cm (m³)</t>
  </si>
  <si>
    <t>Área dos Blocos (m²)</t>
  </si>
  <si>
    <t>Tubulação Vertical ø40mm  (m)</t>
  </si>
  <si>
    <t>Tubulação Horizontal ø40mm (m)</t>
  </si>
  <si>
    <t>Concreto Pilar (m³)</t>
  </si>
  <si>
    <t>Peça Tê ø40mm (uni)</t>
  </si>
  <si>
    <t>Peça Curva 90º ø40mm (uni)</t>
  </si>
  <si>
    <t>Argamassa Impermeabilizante (m²)</t>
  </si>
  <si>
    <t>Argamassa Externa (m²)</t>
  </si>
  <si>
    <t>Pintura Externa (m²)</t>
  </si>
  <si>
    <t>Estacas Brocas (m)</t>
  </si>
  <si>
    <t>Pintura Protetora (m²)</t>
  </si>
  <si>
    <t>Argamassa Impermeabilizante Interna (m²)</t>
  </si>
  <si>
    <t>Concreto (m³)</t>
  </si>
  <si>
    <t>Formas (m²)</t>
  </si>
  <si>
    <t>Blocos (m²)</t>
  </si>
  <si>
    <t>Dados - Cx Necrochorume</t>
  </si>
  <si>
    <t>BDI =(((1+AC+SG+R)*(1+DF)*(1+L))/(1-CP-ISS-CRPB))-1</t>
  </si>
  <si>
    <t>Área Parede Externa (m²)</t>
  </si>
  <si>
    <t>Volume de Corte (m³)
E=25%</t>
  </si>
  <si>
    <t>Aço Estacas / Pilares ø10mm (kg)</t>
  </si>
  <si>
    <t>Aço CA-50</t>
  </si>
  <si>
    <t>Diâmetro Nominal (mm)</t>
  </si>
  <si>
    <t>Massa Nominal (kg/m)</t>
  </si>
  <si>
    <t>Aço CA-60</t>
  </si>
  <si>
    <t>Chapisco aplicado do lado externo do gavetario.</t>
  </si>
  <si>
    <t>Sub Total</t>
  </si>
  <si>
    <t>Total c/ BDI</t>
  </si>
  <si>
    <t>Lastro de brita com 5cm de espessura para o radier</t>
  </si>
  <si>
    <t>Referências:
Tabela SIURB com desoneração Jan/2022
Tabela SINAPI com desoneração 042022</t>
  </si>
  <si>
    <t>Referências:
Tabela SIURB sem desoneração Jan/2022
Tabela SINAPI sem desoneração 042022</t>
  </si>
  <si>
    <t>Siurb Jan/2022</t>
  </si>
  <si>
    <t>Quantitativos Gavetarios</t>
  </si>
  <si>
    <t xml:space="preserve">_____________________________________________________
Diego Felipe Portugal Furtuna
CREA 5069577489        Matrícula 52533  </t>
  </si>
  <si>
    <t>Sem Des</t>
  </si>
  <si>
    <t>Com Des</t>
  </si>
  <si>
    <t>Valores de BDI</t>
  </si>
  <si>
    <t>_____________________________________________________
Diego Felipe Portugal Furtuna
CREA 5069577489        Matrícula 52533</t>
  </si>
  <si>
    <t xml:space="preserve">_____________________________________________________
Diego Felipe Portugal Furtuna
CREA 5069577489        Matrícula 52533        </t>
  </si>
  <si>
    <t>Siurb Jul/2025</t>
  </si>
  <si>
    <t>02-003-001</t>
  </si>
  <si>
    <t>17-030-002</t>
  </si>
  <si>
    <t>13-001-010</t>
  </si>
  <si>
    <t>02-005-006</t>
  </si>
  <si>
    <t>01-002-002</t>
  </si>
  <si>
    <t>04-001-041</t>
  </si>
  <si>
    <t>11-001-008</t>
  </si>
  <si>
    <t>Emboço - Argamassa mista de cimento e areia 1:3</t>
  </si>
  <si>
    <t>02-004-004</t>
  </si>
  <si>
    <t>02-004-007</t>
  </si>
  <si>
    <t>05-001-001</t>
  </si>
  <si>
    <t>10-004-064</t>
  </si>
  <si>
    <t>11-001-001</t>
  </si>
  <si>
    <t>11-001-009</t>
  </si>
  <si>
    <t>15-001-015</t>
  </si>
  <si>
    <t>17-004-001</t>
  </si>
  <si>
    <t>Sinapi 202509</t>
  </si>
  <si>
    <t>Limpeza final da obra levando em consideração a área disponivel de aproximadamente 380m².</t>
  </si>
  <si>
    <t>Corte para construção da caixa necrochorume com 1,2m de profundidade e empolamento de 25%. Valor para 3 caixas.
(1,4*1,4*1,2)*1,25=2,94m³ * 3 = 8,82 m²</t>
  </si>
  <si>
    <t>Formas para a base e a tampa da caixa de necrochorume. Valor para 3 caixas.
(1,4*1,4)+((1,4*2+1,4*2)*0,1)*2=3,08m² * 3 = 9,24 m²</t>
  </si>
  <si>
    <t>Concreto para a base e a tampa da caixa de necrochorume. Valor para 3 caixas.
(1,4*1,4*0,1)*2=0,392m³ * 3 = 1,18 m²</t>
  </si>
  <si>
    <t>Blocos para execução da caixa de necrochorume com 1m de altura. Valor para 3 caixas.
(1,4*2+1,4*2)*1=5,6m² * 16,80 m²</t>
  </si>
  <si>
    <t>Argamassa impermeabilizante para ser aplicada intenamente. Valor para 3 caixas.
Base ((1,11x1,06)=1,18m²); Paredes (((2x1,11+2x1,06)x1)=4,34m²);  Total ((1,18+4,34)=5,52m³) * 3 = 16,55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</si>
</sst>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505050"/>
      </left>
      <right/>
      <top style="medium">
        <color rgb="FF505050"/>
      </top>
      <bottom/>
      <diagonal/>
    </border>
    <border>
      <left/>
      <right/>
      <top style="medium">
        <color rgb="FF505050"/>
      </top>
      <bottom/>
      <diagonal/>
    </border>
    <border>
      <left/>
      <right style="medium">
        <color rgb="FF505050"/>
      </right>
      <top style="medium">
        <color rgb="FF505050"/>
      </top>
      <bottom/>
      <diagonal/>
    </border>
    <border>
      <left style="medium">
        <color rgb="FF505050"/>
      </left>
      <right/>
      <top/>
      <bottom/>
      <diagonal/>
    </border>
    <border>
      <left/>
      <right style="medium">
        <color rgb="FF505050"/>
      </right>
      <top/>
      <bottom/>
      <diagonal/>
    </border>
    <border>
      <left style="medium">
        <color rgb="FF505050"/>
      </left>
      <right/>
      <top/>
      <bottom style="medium">
        <color rgb="FF505050"/>
      </bottom>
      <diagonal/>
    </border>
    <border>
      <left/>
      <right/>
      <top/>
      <bottom style="medium">
        <color rgb="FF505050"/>
      </bottom>
      <diagonal/>
    </border>
    <border>
      <left/>
      <right style="medium">
        <color rgb="FF505050"/>
      </right>
      <top/>
      <bottom style="medium">
        <color rgb="FF505050"/>
      </bottom>
      <diagonal/>
    </border>
    <border>
      <left style="medium">
        <color rgb="FF505050"/>
      </left>
      <right/>
      <top style="medium">
        <color rgb="FF505050"/>
      </top>
      <bottom style="medium">
        <color rgb="FF505050"/>
      </bottom>
      <diagonal/>
    </border>
    <border>
      <left/>
      <right/>
      <top style="medium">
        <color rgb="FF505050"/>
      </top>
      <bottom style="medium">
        <color rgb="FF505050"/>
      </bottom>
      <diagonal/>
    </border>
    <border>
      <left/>
      <right style="medium">
        <color rgb="FF505050"/>
      </right>
      <top style="medium">
        <color rgb="FF505050"/>
      </top>
      <bottom style="medium">
        <color rgb="FF505050"/>
      </bottom>
      <diagonal/>
    </border>
    <border>
      <left style="medium">
        <color rgb="FF505050"/>
      </left>
      <right style="medium">
        <color rgb="FF505050"/>
      </right>
      <top style="medium">
        <color rgb="FF505050"/>
      </top>
      <bottom/>
      <diagonal/>
    </border>
    <border>
      <left style="medium">
        <color rgb="FF505050"/>
      </left>
      <right style="medium">
        <color rgb="FF505050"/>
      </right>
      <top style="medium">
        <color indexed="64"/>
      </top>
      <bottom/>
      <diagonal/>
    </border>
    <border>
      <left style="medium">
        <color rgb="FF505050"/>
      </left>
      <right style="medium">
        <color rgb="FF505050"/>
      </right>
      <top/>
      <bottom/>
      <diagonal/>
    </border>
    <border>
      <left style="medium">
        <color rgb="FF505050"/>
      </left>
      <right style="medium">
        <color rgb="FF505050"/>
      </right>
      <top style="medium">
        <color rgb="FF505050"/>
      </top>
      <bottom style="medium">
        <color rgb="FF505050"/>
      </bottom>
      <diagonal/>
    </border>
    <border>
      <left style="medium">
        <color rgb="FF505050"/>
      </left>
      <right/>
      <top style="medium">
        <color indexed="64"/>
      </top>
      <bottom/>
      <diagonal/>
    </border>
    <border>
      <left/>
      <right style="medium">
        <color rgb="FF505050"/>
      </right>
      <top style="medium">
        <color indexed="64"/>
      </top>
      <bottom/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3" fillId="0" borderId="9" xfId="0" applyFont="1" applyBorder="1"/>
    <xf numFmtId="0" fontId="3" fillId="0" borderId="9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9" xfId="0" applyNumberFormat="1" applyFont="1" applyBorder="1"/>
    <xf numFmtId="0" fontId="2" fillId="2" borderId="9" xfId="0" applyFont="1" applyFill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44" fontId="3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44" fontId="3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10" fontId="2" fillId="0" borderId="9" xfId="0" applyNumberFormat="1" applyFont="1" applyBorder="1" applyAlignment="1">
      <alignment horizontal="center" vertical="center"/>
    </xf>
    <xf numFmtId="44" fontId="2" fillId="0" borderId="9" xfId="0" applyNumberFormat="1" applyFont="1" applyBorder="1" applyAlignment="1">
      <alignment horizontal="center" vertical="center"/>
    </xf>
    <xf numFmtId="44" fontId="3" fillId="0" borderId="9" xfId="0" applyNumberFormat="1" applyFont="1" applyBorder="1" applyAlignment="1">
      <alignment vertical="center"/>
    </xf>
    <xf numFmtId="0" fontId="2" fillId="4" borderId="9" xfId="0" applyFont="1" applyFill="1" applyBorder="1" applyAlignment="1">
      <alignment horizontal="center" vertical="center"/>
    </xf>
    <xf numFmtId="10" fontId="2" fillId="4" borderId="9" xfId="0" applyNumberFormat="1" applyFont="1" applyFill="1" applyBorder="1" applyAlignment="1">
      <alignment horizontal="center"/>
    </xf>
    <xf numFmtId="10" fontId="2" fillId="5" borderId="9" xfId="0" applyNumberFormat="1" applyFont="1" applyFill="1" applyBorder="1" applyAlignment="1">
      <alignment horizontal="center" vertical="center"/>
    </xf>
    <xf numFmtId="10" fontId="3" fillId="2" borderId="9" xfId="0" applyNumberFormat="1" applyFont="1" applyFill="1" applyBorder="1" applyAlignment="1">
      <alignment horizontal="center" vertical="center"/>
    </xf>
    <xf numFmtId="44" fontId="2" fillId="6" borderId="9" xfId="0" applyNumberFormat="1" applyFont="1" applyFill="1" applyBorder="1" applyAlignment="1">
      <alignment horizontal="center" vertical="center"/>
    </xf>
    <xf numFmtId="10" fontId="2" fillId="6" borderId="9" xfId="0" applyNumberFormat="1" applyFont="1" applyFill="1" applyBorder="1" applyAlignment="1">
      <alignment horizontal="center" vertical="center"/>
    </xf>
    <xf numFmtId="10" fontId="3" fillId="6" borderId="9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0" xfId="0" applyFont="1"/>
    <xf numFmtId="0" fontId="4" fillId="0" borderId="9" xfId="0" applyFont="1" applyBorder="1" applyAlignment="1">
      <alignment horizontal="center" vertical="center"/>
    </xf>
    <xf numFmtId="10" fontId="4" fillId="0" borderId="9" xfId="0" applyNumberFormat="1" applyFont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10" fontId="6" fillId="0" borderId="1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1" fillId="0" borderId="0" xfId="0" applyFont="1"/>
    <xf numFmtId="2" fontId="4" fillId="0" borderId="0" xfId="0" applyNumberFormat="1" applyFont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24" xfId="0" applyNumberFormat="1" applyFont="1" applyBorder="1" applyAlignment="1">
      <alignment horizontal="center" vertical="center"/>
    </xf>
    <xf numFmtId="2" fontId="4" fillId="0" borderId="25" xfId="0" applyNumberFormat="1" applyFont="1" applyBorder="1" applyAlignment="1">
      <alignment horizontal="center" vertical="center"/>
    </xf>
    <xf numFmtId="2" fontId="4" fillId="0" borderId="26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44" fontId="3" fillId="2" borderId="9" xfId="0" applyNumberFormat="1" applyFont="1" applyFill="1" applyBorder="1" applyAlignment="1">
      <alignment horizontal="center" vertical="center"/>
    </xf>
    <xf numFmtId="10" fontId="3" fillId="0" borderId="9" xfId="0" applyNumberFormat="1" applyFont="1" applyBorder="1" applyAlignment="1">
      <alignment horizontal="center" vertical="center"/>
    </xf>
    <xf numFmtId="44" fontId="3" fillId="6" borderId="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49" fontId="3" fillId="0" borderId="9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7" xfId="0" applyFont="1" applyBorder="1" applyAlignment="1">
      <alignment horizontal="center" vertical="center" wrapText="1"/>
    </xf>
    <xf numFmtId="2" fontId="4" fillId="0" borderId="28" xfId="0" applyNumberFormat="1" applyFont="1" applyBorder="1" applyAlignment="1">
      <alignment horizontal="center" vertical="center"/>
    </xf>
    <xf numFmtId="2" fontId="4" fillId="0" borderId="29" xfId="0" applyNumberFormat="1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2" fontId="4" fillId="0" borderId="31" xfId="0" applyNumberFormat="1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 wrapText="1"/>
    </xf>
    <xf numFmtId="2" fontId="4" fillId="0" borderId="33" xfId="0" applyNumberFormat="1" applyFont="1" applyBorder="1" applyAlignment="1">
      <alignment horizontal="center" vertical="center"/>
    </xf>
    <xf numFmtId="2" fontId="4" fillId="0" borderId="34" xfId="0" applyNumberFormat="1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2" fontId="4" fillId="0" borderId="35" xfId="0" applyNumberFormat="1" applyFont="1" applyBorder="1" applyAlignment="1">
      <alignment horizontal="center" vertical="center"/>
    </xf>
    <xf numFmtId="2" fontId="4" fillId="0" borderId="36" xfId="0" applyNumberFormat="1" applyFont="1" applyBorder="1" applyAlignment="1">
      <alignment horizontal="center" vertical="center"/>
    </xf>
    <xf numFmtId="2" fontId="4" fillId="0" borderId="3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3" borderId="17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3" fillId="0" borderId="1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left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20" xfId="0" applyFont="1" applyFill="1" applyBorder="1" applyAlignment="1">
      <alignment horizontal="center" vertical="center"/>
    </xf>
    <xf numFmtId="0" fontId="5" fillId="7" borderId="17" xfId="0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21" xfId="0" applyFont="1" applyBorder="1" applyAlignment="1">
      <alignment horizontal="right" vertical="center"/>
    </xf>
    <xf numFmtId="0" fontId="5" fillId="0" borderId="23" xfId="0" applyFont="1" applyBorder="1" applyAlignment="1">
      <alignment horizontal="right" vertical="center"/>
    </xf>
    <xf numFmtId="0" fontId="3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right" vertical="center"/>
    </xf>
    <xf numFmtId="0" fontId="2" fillId="2" borderId="22" xfId="0" applyFont="1" applyFill="1" applyBorder="1" applyAlignment="1">
      <alignment horizontal="right" vertical="center"/>
    </xf>
    <xf numFmtId="0" fontId="2" fillId="2" borderId="23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44" fontId="3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0" fontId="2" fillId="6" borderId="9" xfId="0" applyFont="1" applyFill="1" applyBorder="1" applyAlignment="1">
      <alignment horizontal="right" vertical="center" indent="1"/>
    </xf>
    <xf numFmtId="0" fontId="2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3</xdr:col>
      <xdr:colOff>45719</xdr:colOff>
      <xdr:row>6</xdr:row>
      <xdr:rowOff>111125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C32EFDE-8A80-47D6-ADFF-A80EA1F66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2266949" cy="12401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2</xdr:col>
      <xdr:colOff>438361</xdr:colOff>
      <xdr:row>6</xdr:row>
      <xdr:rowOff>111125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5289E146-C9C3-410A-8B52-40EBE94892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2266949" cy="12401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2</xdr:col>
      <xdr:colOff>438361</xdr:colOff>
      <xdr:row>6</xdr:row>
      <xdr:rowOff>111125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787749F1-C3C0-4464-8586-E5FE0372FA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2261446" cy="1235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2</xdr:col>
      <xdr:colOff>441959</xdr:colOff>
      <xdr:row>6</xdr:row>
      <xdr:rowOff>93345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9A3045EC-2B0D-4392-A6A8-B3CDDBD6D9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2272664" cy="12172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workbookViewId="0">
      <selection activeCell="E7" sqref="E7"/>
    </sheetView>
  </sheetViews>
  <sheetFormatPr defaultColWidth="8.85546875" defaultRowHeight="14.25" x14ac:dyDescent="0.2"/>
  <cols>
    <col min="1" max="16384" width="8.85546875" style="37"/>
  </cols>
  <sheetData>
    <row r="1" spans="1:5" ht="16.5" thickBot="1" x14ac:dyDescent="0.3">
      <c r="A1" s="111" t="s">
        <v>192</v>
      </c>
      <c r="B1" s="112"/>
      <c r="D1" s="113" t="s">
        <v>195</v>
      </c>
      <c r="E1" s="114"/>
    </row>
    <row r="2" spans="1:5" x14ac:dyDescent="0.2">
      <c r="A2" s="105" t="s">
        <v>193</v>
      </c>
      <c r="B2" s="108" t="s">
        <v>194</v>
      </c>
      <c r="D2" s="105" t="s">
        <v>193</v>
      </c>
      <c r="E2" s="108" t="s">
        <v>194</v>
      </c>
    </row>
    <row r="3" spans="1:5" x14ac:dyDescent="0.2">
      <c r="A3" s="106"/>
      <c r="B3" s="109"/>
      <c r="D3" s="106"/>
      <c r="E3" s="109"/>
    </row>
    <row r="4" spans="1:5" x14ac:dyDescent="0.2">
      <c r="A4" s="106"/>
      <c r="B4" s="109"/>
      <c r="D4" s="106"/>
      <c r="E4" s="109"/>
    </row>
    <row r="5" spans="1:5" ht="15" thickBot="1" x14ac:dyDescent="0.25">
      <c r="A5" s="107"/>
      <c r="B5" s="110"/>
      <c r="D5" s="107"/>
      <c r="E5" s="110"/>
    </row>
    <row r="6" spans="1:5" x14ac:dyDescent="0.2">
      <c r="A6" s="34">
        <v>6.3</v>
      </c>
      <c r="B6" s="36">
        <v>0.245</v>
      </c>
      <c r="D6" s="33">
        <v>4.2</v>
      </c>
      <c r="E6" s="35">
        <v>0.109</v>
      </c>
    </row>
    <row r="7" spans="1:5" x14ac:dyDescent="0.2">
      <c r="A7" s="34">
        <v>8</v>
      </c>
      <c r="B7" s="36">
        <v>0.39500000000000002</v>
      </c>
      <c r="D7" s="34">
        <v>5</v>
      </c>
      <c r="E7" s="36">
        <v>0.154</v>
      </c>
    </row>
    <row r="8" spans="1:5" x14ac:dyDescent="0.2">
      <c r="A8" s="34">
        <v>10</v>
      </c>
      <c r="B8" s="36">
        <v>0.61699999999999999</v>
      </c>
      <c r="D8" s="34">
        <v>6</v>
      </c>
      <c r="E8" s="36">
        <v>0.222</v>
      </c>
    </row>
    <row r="9" spans="1:5" x14ac:dyDescent="0.2">
      <c r="A9" s="34">
        <v>12.5</v>
      </c>
      <c r="B9" s="36">
        <v>0.96299999999999997</v>
      </c>
      <c r="D9" s="34">
        <v>7</v>
      </c>
      <c r="E9" s="36">
        <v>0.30199999999999999</v>
      </c>
    </row>
    <row r="10" spans="1:5" x14ac:dyDescent="0.2">
      <c r="A10" s="34">
        <v>16</v>
      </c>
      <c r="B10" s="36">
        <v>1.5780000000000001</v>
      </c>
      <c r="D10" s="34">
        <v>8</v>
      </c>
      <c r="E10" s="36">
        <v>0.39500000000000002</v>
      </c>
    </row>
    <row r="11" spans="1:5" ht="15" thickBot="1" x14ac:dyDescent="0.25">
      <c r="A11" s="34">
        <v>20</v>
      </c>
      <c r="B11" s="36">
        <v>2.4660000000000002</v>
      </c>
      <c r="D11" s="1">
        <v>9.5</v>
      </c>
      <c r="E11" s="2">
        <v>0.55800000000000005</v>
      </c>
    </row>
    <row r="12" spans="1:5" x14ac:dyDescent="0.2">
      <c r="A12" s="34">
        <v>25</v>
      </c>
      <c r="B12" s="36">
        <v>3.8530000000000002</v>
      </c>
    </row>
    <row r="13" spans="1:5" x14ac:dyDescent="0.2">
      <c r="A13" s="34">
        <v>32</v>
      </c>
      <c r="B13" s="36">
        <v>6.3129999999999997</v>
      </c>
    </row>
    <row r="14" spans="1:5" ht="15" thickBot="1" x14ac:dyDescent="0.25">
      <c r="A14" s="1">
        <v>40</v>
      </c>
      <c r="B14" s="2">
        <v>9.8650000000000002</v>
      </c>
    </row>
  </sheetData>
  <mergeCells count="6">
    <mergeCell ref="A2:A5"/>
    <mergeCell ref="B2:B5"/>
    <mergeCell ref="A1:B1"/>
    <mergeCell ref="D2:D5"/>
    <mergeCell ref="E2:E5"/>
    <mergeCell ref="D1:E1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ilha6">
    <pageSetUpPr fitToPage="1"/>
  </sheetPr>
  <dimension ref="A1:P29"/>
  <sheetViews>
    <sheetView showGridLines="0" zoomScale="80" zoomScaleNormal="80" workbookViewId="0">
      <selection activeCell="L33" sqref="L33"/>
    </sheetView>
  </sheetViews>
  <sheetFormatPr defaultColWidth="8.85546875" defaultRowHeight="15" x14ac:dyDescent="0.2"/>
  <cols>
    <col min="1" max="1" width="11.28515625" style="4" customWidth="1"/>
    <col min="2" max="3" width="15.7109375" style="4" customWidth="1"/>
    <col min="4" max="4" width="19.28515625" style="4" bestFit="1" customWidth="1"/>
    <col min="5" max="8" width="16" style="4" bestFit="1" customWidth="1"/>
    <col min="9" max="16" width="17.28515625" style="4" bestFit="1" customWidth="1"/>
    <col min="17" max="16384" width="8.85546875" style="4"/>
  </cols>
  <sheetData>
    <row r="1" spans="1:16" ht="15" customHeight="1" x14ac:dyDescent="0.2">
      <c r="A1" s="189"/>
      <c r="B1" s="189"/>
      <c r="C1" s="189"/>
      <c r="D1" s="204" t="s">
        <v>84</v>
      </c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</row>
    <row r="2" spans="1:16" ht="15" customHeight="1" x14ac:dyDescent="0.2">
      <c r="A2" s="189"/>
      <c r="B2" s="189"/>
      <c r="C2" s="189"/>
      <c r="D2" s="190" t="s">
        <v>3</v>
      </c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</row>
    <row r="3" spans="1:16" ht="15" customHeight="1" x14ac:dyDescent="0.2">
      <c r="A3" s="189"/>
      <c r="B3" s="189"/>
      <c r="C3" s="189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</row>
    <row r="4" spans="1:16" ht="15" customHeight="1" x14ac:dyDescent="0.2">
      <c r="A4" s="189"/>
      <c r="B4" s="189"/>
      <c r="C4" s="189"/>
      <c r="D4" s="190" t="s">
        <v>4</v>
      </c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</row>
    <row r="5" spans="1:16" ht="15" customHeight="1" x14ac:dyDescent="0.2">
      <c r="A5" s="189"/>
      <c r="B5" s="189"/>
      <c r="C5" s="189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</row>
    <row r="6" spans="1:16" ht="15" customHeight="1" x14ac:dyDescent="0.2">
      <c r="A6" s="189"/>
      <c r="B6" s="189"/>
      <c r="C6" s="189"/>
      <c r="D6" s="190" t="s">
        <v>5</v>
      </c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</row>
    <row r="7" spans="1:16" ht="15" customHeight="1" x14ac:dyDescent="0.2">
      <c r="A7" s="189"/>
      <c r="B7" s="189"/>
      <c r="C7" s="189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</row>
    <row r="8" spans="1:16" ht="15.75" x14ac:dyDescent="0.25">
      <c r="A8" s="26" t="s">
        <v>7</v>
      </c>
      <c r="B8" s="203" t="s">
        <v>85</v>
      </c>
      <c r="C8" s="203"/>
      <c r="D8" s="27" t="s">
        <v>86</v>
      </c>
      <c r="E8" s="26" t="s">
        <v>87</v>
      </c>
      <c r="F8" s="26" t="s">
        <v>88</v>
      </c>
      <c r="G8" s="26" t="s">
        <v>89</v>
      </c>
      <c r="H8" s="26" t="s">
        <v>90</v>
      </c>
      <c r="I8" s="26" t="s">
        <v>91</v>
      </c>
      <c r="J8" s="26" t="s">
        <v>92</v>
      </c>
      <c r="K8" s="26" t="s">
        <v>93</v>
      </c>
      <c r="L8" s="26" t="s">
        <v>94</v>
      </c>
      <c r="M8" s="26" t="s">
        <v>95</v>
      </c>
      <c r="N8" s="26" t="s">
        <v>96</v>
      </c>
      <c r="O8" s="26" t="s">
        <v>97</v>
      </c>
      <c r="P8" s="26" t="s">
        <v>98</v>
      </c>
    </row>
    <row r="9" spans="1:16" ht="15.75" x14ac:dyDescent="0.2">
      <c r="A9" s="198">
        <v>1</v>
      </c>
      <c r="B9" s="200" t="s">
        <v>99</v>
      </c>
      <c r="C9" s="200"/>
      <c r="D9" s="199">
        <f>'Tabela com Desoneração'!H11</f>
        <v>3243.92</v>
      </c>
      <c r="E9" s="29">
        <v>1</v>
      </c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</row>
    <row r="10" spans="1:16" x14ac:dyDescent="0.2">
      <c r="A10" s="198"/>
      <c r="B10" s="200"/>
      <c r="C10" s="200"/>
      <c r="D10" s="199"/>
      <c r="E10" s="81">
        <f>D9*E9</f>
        <v>3243.92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ht="15.6" customHeight="1" x14ac:dyDescent="0.2">
      <c r="A11" s="198">
        <v>4</v>
      </c>
      <c r="B11" s="200" t="s">
        <v>79</v>
      </c>
      <c r="C11" s="200"/>
      <c r="D11" s="199">
        <f>'Tabela com Desoneração'!H17</f>
        <v>16932.090399999997</v>
      </c>
      <c r="E11" s="82"/>
      <c r="F11" s="29">
        <v>0.25</v>
      </c>
      <c r="G11" s="29">
        <v>0.25</v>
      </c>
      <c r="H11" s="29">
        <v>0.25</v>
      </c>
      <c r="I11" s="29">
        <v>0.25</v>
      </c>
      <c r="J11" s="82"/>
      <c r="K11" s="82"/>
      <c r="L11" s="82"/>
      <c r="M11" s="82"/>
      <c r="N11" s="82"/>
      <c r="O11" s="82"/>
      <c r="P11" s="82"/>
    </row>
    <row r="12" spans="1:16" x14ac:dyDescent="0.2">
      <c r="A12" s="198"/>
      <c r="B12" s="200"/>
      <c r="C12" s="200"/>
      <c r="D12" s="199"/>
      <c r="E12" s="18">
        <f>$D$11*E11</f>
        <v>0</v>
      </c>
      <c r="F12" s="81">
        <f t="shared" ref="F12:P12" si="0">$D$11*F11</f>
        <v>4233.0225999999993</v>
      </c>
      <c r="G12" s="81">
        <f t="shared" si="0"/>
        <v>4233.0225999999993</v>
      </c>
      <c r="H12" s="81">
        <f t="shared" si="0"/>
        <v>4233.0225999999993</v>
      </c>
      <c r="I12" s="81">
        <f t="shared" si="0"/>
        <v>4233.0225999999993</v>
      </c>
      <c r="J12" s="18">
        <f t="shared" si="0"/>
        <v>0</v>
      </c>
      <c r="K12" s="18">
        <f t="shared" si="0"/>
        <v>0</v>
      </c>
      <c r="L12" s="18">
        <f t="shared" si="0"/>
        <v>0</v>
      </c>
      <c r="M12" s="18">
        <f t="shared" si="0"/>
        <v>0</v>
      </c>
      <c r="N12" s="18">
        <f t="shared" si="0"/>
        <v>0</v>
      </c>
      <c r="O12" s="18">
        <f t="shared" si="0"/>
        <v>0</v>
      </c>
      <c r="P12" s="18">
        <f t="shared" si="0"/>
        <v>0</v>
      </c>
    </row>
    <row r="13" spans="1:16" ht="15.6" customHeight="1" x14ac:dyDescent="0.2">
      <c r="A13" s="198">
        <v>5</v>
      </c>
      <c r="B13" s="200" t="s">
        <v>53</v>
      </c>
      <c r="C13" s="200"/>
      <c r="D13" s="199">
        <f>'Tabela com Desoneração'!H24</f>
        <v>4560.0002639999993</v>
      </c>
      <c r="E13" s="82"/>
      <c r="F13" s="82"/>
      <c r="G13" s="82"/>
      <c r="H13" s="82"/>
      <c r="I13" s="29">
        <v>1</v>
      </c>
      <c r="J13" s="82"/>
      <c r="K13" s="82"/>
      <c r="L13" s="82"/>
      <c r="M13" s="82"/>
      <c r="N13" s="82"/>
      <c r="O13" s="82"/>
      <c r="P13" s="82"/>
    </row>
    <row r="14" spans="1:16" x14ac:dyDescent="0.2">
      <c r="A14" s="198"/>
      <c r="B14" s="200"/>
      <c r="C14" s="200"/>
      <c r="D14" s="199"/>
      <c r="E14" s="18">
        <f>$D$13*E13</f>
        <v>0</v>
      </c>
      <c r="F14" s="18">
        <f t="shared" ref="F14:P14" si="1">$D$13*F13</f>
        <v>0</v>
      </c>
      <c r="G14" s="18">
        <f t="shared" si="1"/>
        <v>0</v>
      </c>
      <c r="H14" s="18">
        <f t="shared" si="1"/>
        <v>0</v>
      </c>
      <c r="I14" s="81">
        <f t="shared" si="1"/>
        <v>4560.0002639999993</v>
      </c>
      <c r="J14" s="18">
        <f t="shared" si="1"/>
        <v>0</v>
      </c>
      <c r="K14" s="18">
        <f t="shared" si="1"/>
        <v>0</v>
      </c>
      <c r="L14" s="18">
        <f t="shared" si="1"/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</row>
    <row r="15" spans="1:16" ht="15.6" customHeight="1" x14ac:dyDescent="0.2">
      <c r="A15" s="198">
        <v>6</v>
      </c>
      <c r="B15" s="200" t="s">
        <v>2</v>
      </c>
      <c r="C15" s="200"/>
      <c r="D15" s="199">
        <f>'Tabela com Desoneração'!H37</f>
        <v>250111.28364320003</v>
      </c>
      <c r="E15" s="82"/>
      <c r="F15" s="82"/>
      <c r="G15" s="82"/>
      <c r="H15" s="82"/>
      <c r="I15" s="29">
        <v>0.125</v>
      </c>
      <c r="J15" s="29">
        <v>0.125</v>
      </c>
      <c r="K15" s="29">
        <v>0.125</v>
      </c>
      <c r="L15" s="29">
        <v>0.125</v>
      </c>
      <c r="M15" s="29">
        <v>0.125</v>
      </c>
      <c r="N15" s="29">
        <v>0.125</v>
      </c>
      <c r="O15" s="29">
        <v>0.125</v>
      </c>
      <c r="P15" s="29">
        <v>0.125</v>
      </c>
    </row>
    <row r="16" spans="1:16" x14ac:dyDescent="0.2">
      <c r="A16" s="198"/>
      <c r="B16" s="200"/>
      <c r="C16" s="200"/>
      <c r="D16" s="199"/>
      <c r="E16" s="18">
        <f>$D$15*E15</f>
        <v>0</v>
      </c>
      <c r="F16" s="18">
        <f t="shared" ref="F16:P16" si="2">$D$15*F15</f>
        <v>0</v>
      </c>
      <c r="G16" s="18">
        <f t="shared" si="2"/>
        <v>0</v>
      </c>
      <c r="H16" s="18">
        <f t="shared" si="2"/>
        <v>0</v>
      </c>
      <c r="I16" s="81">
        <f t="shared" si="2"/>
        <v>31263.910455400004</v>
      </c>
      <c r="J16" s="81">
        <f t="shared" si="2"/>
        <v>31263.910455400004</v>
      </c>
      <c r="K16" s="81">
        <f t="shared" si="2"/>
        <v>31263.910455400004</v>
      </c>
      <c r="L16" s="81">
        <f t="shared" si="2"/>
        <v>31263.910455400004</v>
      </c>
      <c r="M16" s="81">
        <f t="shared" si="2"/>
        <v>31263.910455400004</v>
      </c>
      <c r="N16" s="81">
        <f t="shared" si="2"/>
        <v>31263.910455400004</v>
      </c>
      <c r="O16" s="81">
        <f t="shared" si="2"/>
        <v>31263.910455400004</v>
      </c>
      <c r="P16" s="81">
        <f t="shared" si="2"/>
        <v>31263.910455400004</v>
      </c>
    </row>
    <row r="17" spans="1:16" ht="15.6" customHeight="1" x14ac:dyDescent="0.2">
      <c r="A17" s="198">
        <v>7</v>
      </c>
      <c r="B17" s="200" t="s">
        <v>38</v>
      </c>
      <c r="C17" s="200"/>
      <c r="D17" s="199">
        <f>'Tabela com Desoneração'!H43</f>
        <v>28134.067520000001</v>
      </c>
      <c r="E17" s="82"/>
      <c r="F17" s="82"/>
      <c r="G17" s="82"/>
      <c r="H17" s="82"/>
      <c r="I17" s="82"/>
      <c r="J17" s="82"/>
      <c r="K17" s="82"/>
      <c r="L17" s="82"/>
      <c r="M17" s="82"/>
      <c r="N17" s="29">
        <v>0.33329999999999999</v>
      </c>
      <c r="O17" s="29">
        <v>0.33329999999999999</v>
      </c>
      <c r="P17" s="29">
        <v>0.33339999999999997</v>
      </c>
    </row>
    <row r="18" spans="1:16" x14ac:dyDescent="0.2">
      <c r="A18" s="198"/>
      <c r="B18" s="200"/>
      <c r="C18" s="200"/>
      <c r="D18" s="199"/>
      <c r="E18" s="18">
        <f>$D$17*E17</f>
        <v>0</v>
      </c>
      <c r="F18" s="18">
        <f t="shared" ref="F18:P18" si="3">$D$17*F17</f>
        <v>0</v>
      </c>
      <c r="G18" s="18">
        <f t="shared" si="3"/>
        <v>0</v>
      </c>
      <c r="H18" s="18">
        <f t="shared" si="3"/>
        <v>0</v>
      </c>
      <c r="I18" s="18">
        <f t="shared" si="3"/>
        <v>0</v>
      </c>
      <c r="J18" s="18">
        <f t="shared" si="3"/>
        <v>0</v>
      </c>
      <c r="K18" s="18">
        <f t="shared" si="3"/>
        <v>0</v>
      </c>
      <c r="L18" s="18">
        <f t="shared" si="3"/>
        <v>0</v>
      </c>
      <c r="M18" s="18">
        <f t="shared" si="3"/>
        <v>0</v>
      </c>
      <c r="N18" s="81">
        <f t="shared" si="3"/>
        <v>9377.084704416</v>
      </c>
      <c r="O18" s="81">
        <f t="shared" si="3"/>
        <v>9377.084704416</v>
      </c>
      <c r="P18" s="81">
        <f t="shared" si="3"/>
        <v>9379.8981111679986</v>
      </c>
    </row>
    <row r="19" spans="1:16" ht="15.75" x14ac:dyDescent="0.2">
      <c r="A19" s="14"/>
      <c r="B19" s="202" t="s">
        <v>197</v>
      </c>
      <c r="C19" s="202"/>
      <c r="D19" s="30">
        <f>SUM(D9:D18)</f>
        <v>302981.36182719999</v>
      </c>
      <c r="E19" s="83">
        <f t="shared" ref="E19:P19" si="4">SUM(E10+E12+E14+E16+E18)</f>
        <v>3243.92</v>
      </c>
      <c r="F19" s="83">
        <f t="shared" si="4"/>
        <v>4233.0225999999993</v>
      </c>
      <c r="G19" s="83">
        <f t="shared" si="4"/>
        <v>4233.0225999999993</v>
      </c>
      <c r="H19" s="83">
        <f t="shared" si="4"/>
        <v>4233.0225999999993</v>
      </c>
      <c r="I19" s="83">
        <f t="shared" si="4"/>
        <v>40056.933319400006</v>
      </c>
      <c r="J19" s="83">
        <f t="shared" si="4"/>
        <v>31263.910455400004</v>
      </c>
      <c r="K19" s="83">
        <f t="shared" si="4"/>
        <v>31263.910455400004</v>
      </c>
      <c r="L19" s="83">
        <f t="shared" si="4"/>
        <v>31263.910455400004</v>
      </c>
      <c r="M19" s="83">
        <f t="shared" si="4"/>
        <v>31263.910455400004</v>
      </c>
      <c r="N19" s="83">
        <f t="shared" si="4"/>
        <v>40640.995159816004</v>
      </c>
      <c r="O19" s="83">
        <f t="shared" si="4"/>
        <v>40640.995159816004</v>
      </c>
      <c r="P19" s="83">
        <f t="shared" si="4"/>
        <v>40643.808566568005</v>
      </c>
    </row>
    <row r="20" spans="1:16" ht="15.75" x14ac:dyDescent="0.2">
      <c r="B20" s="201" t="s">
        <v>198</v>
      </c>
      <c r="C20" s="201"/>
      <c r="D20" s="30">
        <f>'Tabela com Desoneração'!H46</f>
        <v>404020.50316267816</v>
      </c>
      <c r="E20" s="83">
        <f>E19*(1+'Tabela com Desoneração'!$H$45)</f>
        <v>4325.7122573993784</v>
      </c>
      <c r="F20" s="83">
        <f>F19*(1+'Tabela com Desoneração'!$H$45)</f>
        <v>5644.6637853795964</v>
      </c>
      <c r="G20" s="83">
        <f>G19*(1+'Tabela com Desoneração'!$H$45)</f>
        <v>5644.6637853795964</v>
      </c>
      <c r="H20" s="83">
        <f>H19*(1+'Tabela com Desoneração'!$H$45)</f>
        <v>5644.6637853795964</v>
      </c>
      <c r="I20" s="83">
        <f>I19*(1+'Tabela com Desoneração'!$H$45)</f>
        <v>53415.240651297863</v>
      </c>
      <c r="J20" s="83">
        <f>J19*(1+'Tabela com Desoneração'!$H$45)</f>
        <v>41689.893915744025</v>
      </c>
      <c r="K20" s="83">
        <f>K19*(1+'Tabela com Desoneração'!$H$45)</f>
        <v>41689.893915744025</v>
      </c>
      <c r="L20" s="83">
        <f>L19*(1+'Tabela com Desoneração'!$H$45)</f>
        <v>41689.893915744025</v>
      </c>
      <c r="M20" s="83">
        <f>M19*(1+'Tabela com Desoneração'!$H$45)</f>
        <v>41689.893915744025</v>
      </c>
      <c r="N20" s="83">
        <f>N19*(1+'Tabela com Desoneração'!$H$45)</f>
        <v>54194.077201572443</v>
      </c>
      <c r="O20" s="83">
        <f>O19*(1+'Tabela com Desoneração'!$H$45)</f>
        <v>54194.077201572443</v>
      </c>
      <c r="P20" s="83">
        <f>P19*(1+'Tabela com Desoneração'!$H$45)</f>
        <v>54197.828831721206</v>
      </c>
    </row>
    <row r="21" spans="1:16" ht="15.75" x14ac:dyDescent="0.2">
      <c r="D21" s="31">
        <f>SUM(E21:P21)</f>
        <v>1.0000000000000002</v>
      </c>
      <c r="E21" s="32">
        <f>E20/$D$20</f>
        <v>1.0706665190349605E-2</v>
      </c>
      <c r="F21" s="32">
        <f t="shared" ref="F21:P21" si="5">F20/$D$20</f>
        <v>1.3971231017220882E-2</v>
      </c>
      <c r="G21" s="32">
        <f t="shared" si="5"/>
        <v>1.3971231017220882E-2</v>
      </c>
      <c r="H21" s="32">
        <f t="shared" si="5"/>
        <v>1.3971231017220882E-2</v>
      </c>
      <c r="I21" s="32">
        <f t="shared" si="5"/>
        <v>0.13220923253439518</v>
      </c>
      <c r="J21" s="32">
        <f t="shared" si="5"/>
        <v>0.10318756991141527</v>
      </c>
      <c r="K21" s="32">
        <f t="shared" si="5"/>
        <v>0.10318756991141527</v>
      </c>
      <c r="L21" s="32">
        <f t="shared" si="5"/>
        <v>0.10318756991141527</v>
      </c>
      <c r="M21" s="32">
        <f t="shared" si="5"/>
        <v>0.10318756991141527</v>
      </c>
      <c r="N21" s="32">
        <f t="shared" si="5"/>
        <v>0.13413694794531578</v>
      </c>
      <c r="O21" s="32">
        <f t="shared" si="5"/>
        <v>0.13413694794531578</v>
      </c>
      <c r="P21" s="32">
        <f t="shared" si="5"/>
        <v>0.13414623368730014</v>
      </c>
    </row>
    <row r="22" spans="1:16" ht="15" customHeight="1" x14ac:dyDescent="0.2">
      <c r="A22" s="181" t="s">
        <v>209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</row>
    <row r="23" spans="1:16" x14ac:dyDescent="0.2">
      <c r="A23" s="181"/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</row>
    <row r="24" spans="1:16" x14ac:dyDescent="0.2">
      <c r="A24" s="181"/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</row>
    <row r="25" spans="1:16" x14ac:dyDescent="0.2">
      <c r="A25" s="181"/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1"/>
      <c r="O25" s="181"/>
      <c r="P25" s="181"/>
    </row>
    <row r="26" spans="1:16" x14ac:dyDescent="0.2">
      <c r="A26" s="181"/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</row>
    <row r="27" spans="1:16" x14ac:dyDescent="0.2">
      <c r="A27" s="181"/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1"/>
      <c r="P27" s="181"/>
    </row>
    <row r="28" spans="1:16" x14ac:dyDescent="0.2">
      <c r="A28" s="181"/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</row>
    <row r="29" spans="1:16" x14ac:dyDescent="0.2">
      <c r="A29" s="181"/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</row>
  </sheetData>
  <mergeCells count="24">
    <mergeCell ref="A1:C7"/>
    <mergeCell ref="D1:P1"/>
    <mergeCell ref="D2:P3"/>
    <mergeCell ref="D4:P5"/>
    <mergeCell ref="D6:P7"/>
    <mergeCell ref="B8:C8"/>
    <mergeCell ref="B11:C12"/>
    <mergeCell ref="B13:C14"/>
    <mergeCell ref="B15:C16"/>
    <mergeCell ref="B17:C18"/>
    <mergeCell ref="A9:A10"/>
    <mergeCell ref="D9:D10"/>
    <mergeCell ref="B9:C10"/>
    <mergeCell ref="A22:P29"/>
    <mergeCell ref="B20:C20"/>
    <mergeCell ref="A11:A12"/>
    <mergeCell ref="A13:A14"/>
    <mergeCell ref="A15:A16"/>
    <mergeCell ref="A17:A18"/>
    <mergeCell ref="B19:C19"/>
    <mergeCell ref="D11:D12"/>
    <mergeCell ref="D13:D14"/>
    <mergeCell ref="D15:D16"/>
    <mergeCell ref="D17:D18"/>
  </mergeCells>
  <pageMargins left="0.511811024" right="0.511811024" top="0.78740157499999996" bottom="0.78740157499999996" header="0.31496062000000002" footer="0.31496062000000002"/>
  <pageSetup paperSize="9" scale="5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4"/>
  <sheetViews>
    <sheetView workbookViewId="0">
      <selection activeCell="B25" sqref="B25"/>
    </sheetView>
  </sheetViews>
  <sheetFormatPr defaultColWidth="8.85546875" defaultRowHeight="15" x14ac:dyDescent="0.2"/>
  <cols>
    <col min="1" max="5" width="8.85546875" style="4"/>
    <col min="6" max="6" width="12.28515625" style="4" customWidth="1"/>
    <col min="7" max="10" width="8.85546875" style="4"/>
    <col min="11" max="11" width="11" style="4" customWidth="1"/>
    <col min="12" max="13" width="8.85546875" style="4"/>
    <col min="14" max="14" width="8.7109375" style="4" customWidth="1"/>
    <col min="15" max="16" width="8.85546875" style="4"/>
    <col min="17" max="17" width="10.28515625" style="4" customWidth="1"/>
    <col min="18" max="16384" width="8.85546875" style="4"/>
  </cols>
  <sheetData>
    <row r="1" spans="1:19" ht="15.6" customHeight="1" thickBot="1" x14ac:dyDescent="0.3">
      <c r="A1" s="115" t="s">
        <v>125</v>
      </c>
      <c r="B1" s="116"/>
      <c r="C1" s="116"/>
      <c r="D1" s="116"/>
      <c r="E1" s="116"/>
      <c r="F1" s="117"/>
      <c r="G1" s="113" t="s">
        <v>130</v>
      </c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4"/>
      <c r="S1" s="15"/>
    </row>
    <row r="2" spans="1:19" ht="15" customHeight="1" x14ac:dyDescent="0.2">
      <c r="A2" s="123" t="s">
        <v>126</v>
      </c>
      <c r="B2" s="120" t="s">
        <v>140</v>
      </c>
      <c r="C2" s="120" t="s">
        <v>128</v>
      </c>
      <c r="D2" s="120" t="s">
        <v>127</v>
      </c>
      <c r="E2" s="120" t="s">
        <v>138</v>
      </c>
      <c r="F2" s="120" t="s">
        <v>139</v>
      </c>
      <c r="G2" s="123" t="s">
        <v>137</v>
      </c>
      <c r="H2" s="120" t="s">
        <v>181</v>
      </c>
      <c r="I2" s="120" t="s">
        <v>191</v>
      </c>
      <c r="J2" s="120" t="s">
        <v>134</v>
      </c>
      <c r="K2" s="120" t="s">
        <v>135</v>
      </c>
      <c r="L2" s="120" t="s">
        <v>136</v>
      </c>
      <c r="M2" s="120" t="s">
        <v>132</v>
      </c>
      <c r="N2" s="120" t="s">
        <v>142</v>
      </c>
      <c r="O2" s="120" t="s">
        <v>133</v>
      </c>
      <c r="P2" s="120" t="s">
        <v>178</v>
      </c>
      <c r="Q2" s="120" t="s">
        <v>182</v>
      </c>
      <c r="R2" s="125" t="s">
        <v>131</v>
      </c>
    </row>
    <row r="3" spans="1:19" ht="16.149999999999999" customHeight="1" x14ac:dyDescent="0.2">
      <c r="A3" s="124"/>
      <c r="B3" s="121"/>
      <c r="C3" s="121"/>
      <c r="D3" s="121"/>
      <c r="E3" s="121"/>
      <c r="F3" s="121"/>
      <c r="G3" s="124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6"/>
    </row>
    <row r="4" spans="1:19" ht="16.149999999999999" customHeight="1" x14ac:dyDescent="0.2">
      <c r="A4" s="124"/>
      <c r="B4" s="121"/>
      <c r="C4" s="121"/>
      <c r="D4" s="121"/>
      <c r="E4" s="121"/>
      <c r="F4" s="121"/>
      <c r="G4" s="124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6"/>
    </row>
    <row r="5" spans="1:19" ht="16.149999999999999" customHeight="1" x14ac:dyDescent="0.2">
      <c r="A5" s="124"/>
      <c r="B5" s="121"/>
      <c r="C5" s="121"/>
      <c r="D5" s="121"/>
      <c r="E5" s="121"/>
      <c r="F5" s="121"/>
      <c r="G5" s="124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6"/>
    </row>
    <row r="6" spans="1:19" ht="16.149999999999999" customHeight="1" thickBot="1" x14ac:dyDescent="0.25">
      <c r="A6" s="127"/>
      <c r="B6" s="122"/>
      <c r="C6" s="122"/>
      <c r="D6" s="122"/>
      <c r="E6" s="122"/>
      <c r="F6" s="122"/>
      <c r="G6" s="124"/>
      <c r="H6" s="121"/>
      <c r="I6" s="121"/>
      <c r="J6" s="121"/>
      <c r="K6" s="122"/>
      <c r="L6" s="122"/>
      <c r="M6" s="122"/>
      <c r="N6" s="122"/>
      <c r="O6" s="122"/>
      <c r="P6" s="122"/>
      <c r="Q6" s="122"/>
      <c r="R6" s="126"/>
    </row>
    <row r="7" spans="1:19" x14ac:dyDescent="0.2">
      <c r="A7" s="49">
        <v>2</v>
      </c>
      <c r="B7" s="50">
        <v>2</v>
      </c>
      <c r="C7" s="59">
        <f>2.58+2*2.14</f>
        <v>6.86</v>
      </c>
      <c r="D7" s="59">
        <f>2.58*2.14</f>
        <v>5.5212000000000003</v>
      </c>
      <c r="E7" s="59">
        <v>2.2000000000000002</v>
      </c>
      <c r="F7" s="66">
        <v>2</v>
      </c>
      <c r="G7" s="58">
        <f>((D7*E7)*1.25)/2</f>
        <v>7.5916500000000013</v>
      </c>
      <c r="H7" s="76">
        <f>F7*B7</f>
        <v>4</v>
      </c>
      <c r="I7" s="59">
        <f>(((E7+F7+0.1)*4)*B7)*'Massa Nominal Aço'!$B$8</f>
        <v>21.224799999999998</v>
      </c>
      <c r="J7" s="59">
        <f>((0.7*20)*B7)*'Massa Nominal Aço'!$E$7</f>
        <v>4.3120000000000003</v>
      </c>
      <c r="K7" s="59">
        <f t="shared" ref="K7:K15" si="0">(C7*E7)-(C7*0.6)</f>
        <v>10.976000000000003</v>
      </c>
      <c r="L7" s="59">
        <f t="shared" ref="L7:L15" si="1">0.6*C7</f>
        <v>4.1159999999999997</v>
      </c>
      <c r="M7" s="59">
        <f>(6*C7)*'Massa Nominal Aço'!$B$6</f>
        <v>10.084200000000001</v>
      </c>
      <c r="N7" s="59">
        <f t="shared" ref="N7:N15" si="2">(0.0117*2)*E7*B7</f>
        <v>0.10296000000000001</v>
      </c>
      <c r="O7" s="59">
        <f t="shared" ref="O7:O15" si="3">(0.16*0.08*C7)*4</f>
        <v>0.35123200000000004</v>
      </c>
      <c r="P7" s="78">
        <f t="shared" ref="P7:P15" si="4">C7*E7</f>
        <v>15.092000000000002</v>
      </c>
      <c r="Q7" s="78">
        <f t="shared" ref="Q7:Q15" si="5">C7*E7</f>
        <v>15.092000000000002</v>
      </c>
      <c r="R7" s="60">
        <f t="shared" ref="R7:R15" si="6">(D7*E7)/2</f>
        <v>6.0733200000000007</v>
      </c>
    </row>
    <row r="8" spans="1:19" x14ac:dyDescent="0.2">
      <c r="A8" s="52">
        <v>3</v>
      </c>
      <c r="B8" s="53">
        <v>4</v>
      </c>
      <c r="C8" s="44">
        <f>2.58+2*3.14</f>
        <v>8.86</v>
      </c>
      <c r="D8" s="44">
        <f>2.58*3.14</f>
        <v>8.1012000000000004</v>
      </c>
      <c r="E8" s="44">
        <v>2.2000000000000002</v>
      </c>
      <c r="F8" s="44">
        <v>2</v>
      </c>
      <c r="G8" s="61">
        <f t="shared" ref="G8:G15" si="7">((D8*E8)*1.25)/2</f>
        <v>11.139150000000003</v>
      </c>
      <c r="H8" s="12">
        <f t="shared" ref="H8:H15" si="8">F8*B8</f>
        <v>8</v>
      </c>
      <c r="I8" s="44">
        <f>(((E8+F8+0.1)*4)*B8)*'Massa Nominal Aço'!$B$8</f>
        <v>42.449599999999997</v>
      </c>
      <c r="J8" s="44">
        <f>((0.7*20)*B8)*'Massa Nominal Aço'!$E$7</f>
        <v>8.6240000000000006</v>
      </c>
      <c r="K8" s="44">
        <f t="shared" si="0"/>
        <v>14.176000000000002</v>
      </c>
      <c r="L8" s="44">
        <f t="shared" si="1"/>
        <v>5.3159999999999998</v>
      </c>
      <c r="M8" s="44">
        <f>(6*C8)*'Massa Nominal Aço'!$B$6</f>
        <v>13.024199999999999</v>
      </c>
      <c r="N8" s="44">
        <f t="shared" si="2"/>
        <v>0.20592000000000002</v>
      </c>
      <c r="O8" s="44">
        <f t="shared" si="3"/>
        <v>0.45363199999999998</v>
      </c>
      <c r="P8" s="77">
        <f t="shared" si="4"/>
        <v>19.492000000000001</v>
      </c>
      <c r="Q8" s="77">
        <f t="shared" si="5"/>
        <v>19.492000000000001</v>
      </c>
      <c r="R8" s="45">
        <f t="shared" si="6"/>
        <v>8.9113200000000017</v>
      </c>
    </row>
    <row r="9" spans="1:19" x14ac:dyDescent="0.2">
      <c r="A9" s="52">
        <v>4</v>
      </c>
      <c r="B9" s="53">
        <v>4</v>
      </c>
      <c r="C9" s="44">
        <f>2.58+2*4.14</f>
        <v>10.86</v>
      </c>
      <c r="D9" s="44">
        <f>2.58*4.14</f>
        <v>10.681199999999999</v>
      </c>
      <c r="E9" s="44">
        <v>2.2000000000000002</v>
      </c>
      <c r="F9" s="44">
        <v>2</v>
      </c>
      <c r="G9" s="61">
        <f t="shared" si="7"/>
        <v>14.686649999999998</v>
      </c>
      <c r="H9" s="12">
        <f t="shared" si="8"/>
        <v>8</v>
      </c>
      <c r="I9" s="44">
        <f>(((E9+F9+0.1)*4)*B9)*'Massa Nominal Aço'!$B$8</f>
        <v>42.449599999999997</v>
      </c>
      <c r="J9" s="44">
        <f>((0.7*20)*B9)*'Massa Nominal Aço'!$E$7</f>
        <v>8.6240000000000006</v>
      </c>
      <c r="K9" s="44">
        <f t="shared" si="0"/>
        <v>17.376000000000001</v>
      </c>
      <c r="L9" s="44">
        <f t="shared" si="1"/>
        <v>6.5159999999999991</v>
      </c>
      <c r="M9" s="44">
        <f>(6*C9)*'Massa Nominal Aço'!$B$6</f>
        <v>15.964199999999998</v>
      </c>
      <c r="N9" s="44">
        <f t="shared" si="2"/>
        <v>0.20592000000000002</v>
      </c>
      <c r="O9" s="44">
        <f t="shared" si="3"/>
        <v>0.55603199999999997</v>
      </c>
      <c r="P9" s="77">
        <f t="shared" si="4"/>
        <v>23.891999999999999</v>
      </c>
      <c r="Q9" s="77">
        <f t="shared" si="5"/>
        <v>23.891999999999999</v>
      </c>
      <c r="R9" s="45">
        <f t="shared" si="6"/>
        <v>11.749319999999999</v>
      </c>
    </row>
    <row r="10" spans="1:19" x14ac:dyDescent="0.2">
      <c r="A10" s="52">
        <v>5</v>
      </c>
      <c r="B10" s="53">
        <v>4</v>
      </c>
      <c r="C10" s="44">
        <f>2.58+2*5.14</f>
        <v>12.86</v>
      </c>
      <c r="D10" s="44">
        <f>2.58*5.14</f>
        <v>13.261199999999999</v>
      </c>
      <c r="E10" s="44">
        <v>2.2000000000000002</v>
      </c>
      <c r="F10" s="44">
        <v>2</v>
      </c>
      <c r="G10" s="61">
        <f t="shared" si="7"/>
        <v>18.23415</v>
      </c>
      <c r="H10" s="12">
        <f t="shared" si="8"/>
        <v>8</v>
      </c>
      <c r="I10" s="44">
        <f>(((E10+F10+0.1)*4)*B10)*'Massa Nominal Aço'!$B$8</f>
        <v>42.449599999999997</v>
      </c>
      <c r="J10" s="44">
        <f>((0.7*20)*B10)*'Massa Nominal Aço'!$E$7</f>
        <v>8.6240000000000006</v>
      </c>
      <c r="K10" s="44">
        <f t="shared" si="0"/>
        <v>20.576000000000001</v>
      </c>
      <c r="L10" s="44">
        <f t="shared" si="1"/>
        <v>7.7159999999999993</v>
      </c>
      <c r="M10" s="44">
        <f>(6*C10)*'Massa Nominal Aço'!$B$6</f>
        <v>18.904199999999999</v>
      </c>
      <c r="N10" s="44">
        <f t="shared" si="2"/>
        <v>0.20592000000000002</v>
      </c>
      <c r="O10" s="44">
        <f t="shared" si="3"/>
        <v>0.65843200000000002</v>
      </c>
      <c r="P10" s="77">
        <f t="shared" si="4"/>
        <v>28.292000000000002</v>
      </c>
      <c r="Q10" s="77">
        <f t="shared" si="5"/>
        <v>28.292000000000002</v>
      </c>
      <c r="R10" s="45">
        <f t="shared" si="6"/>
        <v>14.58732</v>
      </c>
    </row>
    <row r="11" spans="1:19" x14ac:dyDescent="0.2">
      <c r="A11" s="52">
        <v>6</v>
      </c>
      <c r="B11" s="53">
        <v>6</v>
      </c>
      <c r="C11" s="44">
        <f>2.58+2*6.14</f>
        <v>14.86</v>
      </c>
      <c r="D11" s="44">
        <f>2.58*6.14</f>
        <v>15.841199999999999</v>
      </c>
      <c r="E11" s="44">
        <v>2.2000000000000002</v>
      </c>
      <c r="F11" s="44">
        <v>2</v>
      </c>
      <c r="G11" s="61">
        <f t="shared" si="7"/>
        <v>21.781649999999999</v>
      </c>
      <c r="H11" s="12">
        <f t="shared" si="8"/>
        <v>12</v>
      </c>
      <c r="I11" s="44">
        <f>(((E11+F11+0.1)*4)*B11)*'Massa Nominal Aço'!$B$8</f>
        <v>63.674399999999991</v>
      </c>
      <c r="J11" s="44">
        <f>((0.7*20)*B11)*'Massa Nominal Aço'!$E$7</f>
        <v>12.936</v>
      </c>
      <c r="K11" s="44">
        <f t="shared" si="0"/>
        <v>23.776000000000003</v>
      </c>
      <c r="L11" s="44">
        <f t="shared" si="1"/>
        <v>8.9159999999999986</v>
      </c>
      <c r="M11" s="44">
        <f>(6*C11)*'Massa Nominal Aço'!$B$6</f>
        <v>21.844199999999997</v>
      </c>
      <c r="N11" s="44">
        <f t="shared" si="2"/>
        <v>0.30888000000000004</v>
      </c>
      <c r="O11" s="44">
        <f t="shared" si="3"/>
        <v>0.76083199999999995</v>
      </c>
      <c r="P11" s="77">
        <f t="shared" si="4"/>
        <v>32.692</v>
      </c>
      <c r="Q11" s="77">
        <f t="shared" si="5"/>
        <v>32.692</v>
      </c>
      <c r="R11" s="45">
        <f t="shared" si="6"/>
        <v>17.425319999999999</v>
      </c>
    </row>
    <row r="12" spans="1:19" x14ac:dyDescent="0.2">
      <c r="A12" s="52">
        <v>7</v>
      </c>
      <c r="B12" s="53">
        <v>8</v>
      </c>
      <c r="C12" s="44">
        <f>2.58+2*7.14</f>
        <v>16.86</v>
      </c>
      <c r="D12" s="44">
        <f>2.58*7.14</f>
        <v>18.421199999999999</v>
      </c>
      <c r="E12" s="44">
        <v>2.2000000000000002</v>
      </c>
      <c r="F12" s="44">
        <v>2</v>
      </c>
      <c r="G12" s="61">
        <f t="shared" si="7"/>
        <v>25.329149999999998</v>
      </c>
      <c r="H12" s="12">
        <f t="shared" si="8"/>
        <v>16</v>
      </c>
      <c r="I12" s="44">
        <f>(((E12+F12+0.1)*4)*B12)*'Massa Nominal Aço'!$B$8</f>
        <v>84.899199999999993</v>
      </c>
      <c r="J12" s="44">
        <f>((0.7*20)*B12)*'Massa Nominal Aço'!$E$7</f>
        <v>17.248000000000001</v>
      </c>
      <c r="K12" s="44">
        <f t="shared" si="0"/>
        <v>26.975999999999999</v>
      </c>
      <c r="L12" s="44">
        <f t="shared" si="1"/>
        <v>10.116</v>
      </c>
      <c r="M12" s="44">
        <f>(6*C12)*'Massa Nominal Aço'!$B$6</f>
        <v>24.784199999999998</v>
      </c>
      <c r="N12" s="44">
        <f t="shared" si="2"/>
        <v>0.41184000000000004</v>
      </c>
      <c r="O12" s="44">
        <f t="shared" si="3"/>
        <v>0.863232</v>
      </c>
      <c r="P12" s="77">
        <f t="shared" si="4"/>
        <v>37.091999999999999</v>
      </c>
      <c r="Q12" s="77">
        <f t="shared" si="5"/>
        <v>37.091999999999999</v>
      </c>
      <c r="R12" s="45">
        <f t="shared" si="6"/>
        <v>20.26332</v>
      </c>
    </row>
    <row r="13" spans="1:19" x14ac:dyDescent="0.2">
      <c r="A13" s="52">
        <v>8</v>
      </c>
      <c r="B13" s="53">
        <v>8</v>
      </c>
      <c r="C13" s="44">
        <f>2.58+2*8.14</f>
        <v>18.86</v>
      </c>
      <c r="D13" s="44">
        <f>2.58*8.14</f>
        <v>21.001200000000001</v>
      </c>
      <c r="E13" s="44">
        <v>2.2000000000000002</v>
      </c>
      <c r="F13" s="44">
        <v>2</v>
      </c>
      <c r="G13" s="61">
        <f t="shared" si="7"/>
        <v>28.876650000000001</v>
      </c>
      <c r="H13" s="12">
        <f t="shared" si="8"/>
        <v>16</v>
      </c>
      <c r="I13" s="44">
        <f>(((E13+F13+0.1)*4)*B13)*'Massa Nominal Aço'!$B$8</f>
        <v>84.899199999999993</v>
      </c>
      <c r="J13" s="44">
        <f>((0.7*20)*B13)*'Massa Nominal Aço'!$E$7</f>
        <v>17.248000000000001</v>
      </c>
      <c r="K13" s="44">
        <f t="shared" si="0"/>
        <v>30.176000000000005</v>
      </c>
      <c r="L13" s="44">
        <f t="shared" si="1"/>
        <v>11.315999999999999</v>
      </c>
      <c r="M13" s="44">
        <f>(6*C13)*'Massa Nominal Aço'!$B$6</f>
        <v>27.7242</v>
      </c>
      <c r="N13" s="44">
        <f t="shared" si="2"/>
        <v>0.41184000000000004</v>
      </c>
      <c r="O13" s="44">
        <f t="shared" si="3"/>
        <v>0.96563200000000005</v>
      </c>
      <c r="P13" s="77">
        <f t="shared" si="4"/>
        <v>41.492000000000004</v>
      </c>
      <c r="Q13" s="77">
        <f t="shared" si="5"/>
        <v>41.492000000000004</v>
      </c>
      <c r="R13" s="45">
        <f t="shared" si="6"/>
        <v>23.101320000000001</v>
      </c>
    </row>
    <row r="14" spans="1:19" x14ac:dyDescent="0.2">
      <c r="A14" s="52">
        <v>9</v>
      </c>
      <c r="B14" s="53">
        <v>10</v>
      </c>
      <c r="C14" s="44">
        <f>2.58+2*9.14</f>
        <v>20.86</v>
      </c>
      <c r="D14" s="44">
        <f>2.58*9.14</f>
        <v>23.581200000000003</v>
      </c>
      <c r="E14" s="44">
        <v>2.2000000000000002</v>
      </c>
      <c r="F14" s="44">
        <v>2</v>
      </c>
      <c r="G14" s="61">
        <f t="shared" si="7"/>
        <v>32.424150000000004</v>
      </c>
      <c r="H14" s="12">
        <f t="shared" si="8"/>
        <v>20</v>
      </c>
      <c r="I14" s="44">
        <f>(((E14+F14+0.1)*4)*B14)*'Massa Nominal Aço'!$B$8</f>
        <v>106.124</v>
      </c>
      <c r="J14" s="44">
        <f>((0.7*20)*B14)*'Massa Nominal Aço'!$E$7</f>
        <v>21.56</v>
      </c>
      <c r="K14" s="44">
        <f t="shared" si="0"/>
        <v>33.376000000000005</v>
      </c>
      <c r="L14" s="44">
        <f t="shared" si="1"/>
        <v>12.516</v>
      </c>
      <c r="M14" s="44">
        <f>(6*C14)*'Massa Nominal Aço'!$B$6</f>
        <v>30.664199999999997</v>
      </c>
      <c r="N14" s="44">
        <f t="shared" si="2"/>
        <v>0.51480000000000004</v>
      </c>
      <c r="O14" s="44">
        <f t="shared" si="3"/>
        <v>1.0680320000000001</v>
      </c>
      <c r="P14" s="77">
        <f t="shared" si="4"/>
        <v>45.892000000000003</v>
      </c>
      <c r="Q14" s="77">
        <f t="shared" si="5"/>
        <v>45.892000000000003</v>
      </c>
      <c r="R14" s="45">
        <f t="shared" si="6"/>
        <v>25.939320000000006</v>
      </c>
    </row>
    <row r="15" spans="1:19" ht="15.75" thickBot="1" x14ac:dyDescent="0.25">
      <c r="A15" s="55">
        <v>11</v>
      </c>
      <c r="B15" s="56">
        <v>10</v>
      </c>
      <c r="C15" s="46">
        <f>2.58+2*11.14</f>
        <v>24.86</v>
      </c>
      <c r="D15" s="46">
        <f>2.58*11.14</f>
        <v>28.741200000000003</v>
      </c>
      <c r="E15" s="46">
        <v>2.2000000000000002</v>
      </c>
      <c r="F15" s="46">
        <v>2</v>
      </c>
      <c r="G15" s="62">
        <f t="shared" si="7"/>
        <v>39.519150000000003</v>
      </c>
      <c r="H15" s="79">
        <f t="shared" si="8"/>
        <v>20</v>
      </c>
      <c r="I15" s="46">
        <f>(((E15+F15+0.1)*4)*B15)*'Massa Nominal Aço'!$B$8</f>
        <v>106.124</v>
      </c>
      <c r="J15" s="46">
        <f>((0.7*20)*B15)*'Massa Nominal Aço'!$E$7</f>
        <v>21.56</v>
      </c>
      <c r="K15" s="46">
        <f t="shared" si="0"/>
        <v>39.776000000000003</v>
      </c>
      <c r="L15" s="46">
        <f t="shared" si="1"/>
        <v>14.915999999999999</v>
      </c>
      <c r="M15" s="46">
        <f>(6*C15)*'Massa Nominal Aço'!$B$6</f>
        <v>36.544199999999996</v>
      </c>
      <c r="N15" s="46">
        <f t="shared" si="2"/>
        <v>0.51480000000000004</v>
      </c>
      <c r="O15" s="46">
        <f t="shared" si="3"/>
        <v>1.272832</v>
      </c>
      <c r="P15" s="80">
        <f t="shared" si="4"/>
        <v>54.692</v>
      </c>
      <c r="Q15" s="80">
        <f t="shared" si="5"/>
        <v>54.692</v>
      </c>
      <c r="R15" s="47">
        <f t="shared" si="6"/>
        <v>31.615320000000004</v>
      </c>
    </row>
    <row r="16" spans="1:19" ht="15.75" thickBot="1" x14ac:dyDescent="0.25"/>
    <row r="17" spans="1:13" ht="16.149999999999999" customHeight="1" thickBot="1" x14ac:dyDescent="0.25">
      <c r="A17" s="111" t="s">
        <v>141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2"/>
      <c r="M17" s="16"/>
    </row>
    <row r="18" spans="1:13" ht="16.149999999999999" customHeight="1" thickBot="1" x14ac:dyDescent="0.25">
      <c r="A18" s="71">
        <v>1</v>
      </c>
      <c r="B18" s="72">
        <v>2</v>
      </c>
      <c r="C18" s="72">
        <v>3</v>
      </c>
      <c r="D18" s="72">
        <v>4</v>
      </c>
      <c r="E18" s="72">
        <v>5</v>
      </c>
      <c r="F18" s="72">
        <v>6</v>
      </c>
      <c r="G18" s="72">
        <v>7</v>
      </c>
      <c r="H18" s="72">
        <v>8</v>
      </c>
      <c r="I18" s="72">
        <v>9</v>
      </c>
      <c r="J18" s="72">
        <v>10</v>
      </c>
      <c r="K18" s="72">
        <v>11</v>
      </c>
      <c r="L18" s="70">
        <v>12</v>
      </c>
    </row>
    <row r="19" spans="1:13" ht="16.899999999999999" customHeight="1" x14ac:dyDescent="0.2">
      <c r="A19" s="123" t="s">
        <v>137</v>
      </c>
      <c r="B19" s="120" t="s">
        <v>181</v>
      </c>
      <c r="C19" s="120" t="s">
        <v>191</v>
      </c>
      <c r="D19" s="120" t="s">
        <v>134</v>
      </c>
      <c r="E19" s="120" t="s">
        <v>135</v>
      </c>
      <c r="F19" s="120" t="s">
        <v>136</v>
      </c>
      <c r="G19" s="120" t="s">
        <v>132</v>
      </c>
      <c r="H19" s="120" t="s">
        <v>142</v>
      </c>
      <c r="I19" s="120" t="s">
        <v>133</v>
      </c>
      <c r="J19" s="120" t="s">
        <v>178</v>
      </c>
      <c r="K19" s="120" t="s">
        <v>182</v>
      </c>
      <c r="L19" s="125" t="s">
        <v>131</v>
      </c>
    </row>
    <row r="20" spans="1:13" ht="16.899999999999999" customHeight="1" x14ac:dyDescent="0.2">
      <c r="A20" s="124"/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6"/>
    </row>
    <row r="21" spans="1:13" ht="16.899999999999999" customHeight="1" x14ac:dyDescent="0.2">
      <c r="A21" s="124"/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6"/>
    </row>
    <row r="22" spans="1:13" ht="16.899999999999999" customHeight="1" x14ac:dyDescent="0.2">
      <c r="A22" s="124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6"/>
    </row>
    <row r="23" spans="1:13" ht="16.899999999999999" customHeight="1" thickBot="1" x14ac:dyDescent="0.25">
      <c r="A23" s="124"/>
      <c r="B23" s="121"/>
      <c r="C23" s="121"/>
      <c r="D23" s="121"/>
      <c r="E23" s="122"/>
      <c r="F23" s="122"/>
      <c r="G23" s="122"/>
      <c r="H23" s="122"/>
      <c r="I23" s="122"/>
      <c r="J23" s="122"/>
      <c r="K23" s="122"/>
      <c r="L23" s="126"/>
    </row>
    <row r="24" spans="1:13" ht="15.75" thickBot="1" x14ac:dyDescent="0.25">
      <c r="A24" s="63">
        <f>G15+G14+G13+G12+G11+3*G10+9*G9+12*G8</f>
        <v>468.48284999999998</v>
      </c>
      <c r="B24" s="64">
        <v>280</v>
      </c>
      <c r="C24" s="64">
        <f t="shared" ref="C24:D24" si="9">I15+I14+I13+I12+I11+3*I10+9*I9+12*I8</f>
        <v>1464.5111999999999</v>
      </c>
      <c r="D24" s="64">
        <f t="shared" si="9"/>
        <v>297.52800000000002</v>
      </c>
      <c r="E24" s="64">
        <f t="shared" ref="E24:L24" si="10">K15+K14+K13+K12+K11+3*K10+9*K9+12*K8</f>
        <v>542.30400000000009</v>
      </c>
      <c r="F24" s="64">
        <f t="shared" si="10"/>
        <v>203.364</v>
      </c>
      <c r="G24" s="64">
        <f t="shared" si="10"/>
        <v>498.24179999999996</v>
      </c>
      <c r="H24" s="64">
        <f t="shared" si="10"/>
        <v>7.1042400000000008</v>
      </c>
      <c r="I24" s="64">
        <f t="shared" si="10"/>
        <v>17.353727999999997</v>
      </c>
      <c r="J24" s="64">
        <f t="shared" si="10"/>
        <v>745.66800000000001</v>
      </c>
      <c r="K24" s="64">
        <f t="shared" si="10"/>
        <v>745.66800000000001</v>
      </c>
      <c r="L24" s="65">
        <f t="shared" si="10"/>
        <v>374.78628000000003</v>
      </c>
    </row>
  </sheetData>
  <mergeCells count="33">
    <mergeCell ref="H2:H6"/>
    <mergeCell ref="N2:N6"/>
    <mergeCell ref="K2:K6"/>
    <mergeCell ref="O2:O6"/>
    <mergeCell ref="P2:P6"/>
    <mergeCell ref="A19:A23"/>
    <mergeCell ref="B19:B23"/>
    <mergeCell ref="C19:C23"/>
    <mergeCell ref="D19:D23"/>
    <mergeCell ref="E19:E23"/>
    <mergeCell ref="K19:K23"/>
    <mergeCell ref="L19:L23"/>
    <mergeCell ref="F19:F23"/>
    <mergeCell ref="G19:G23"/>
    <mergeCell ref="H19:H23"/>
    <mergeCell ref="I19:I23"/>
    <mergeCell ref="J19:J23"/>
    <mergeCell ref="A1:F1"/>
    <mergeCell ref="G1:R1"/>
    <mergeCell ref="A17:L17"/>
    <mergeCell ref="F2:F6"/>
    <mergeCell ref="G2:G6"/>
    <mergeCell ref="R2:R6"/>
    <mergeCell ref="L2:L6"/>
    <mergeCell ref="M2:M6"/>
    <mergeCell ref="J2:J6"/>
    <mergeCell ref="A2:A6"/>
    <mergeCell ref="B2:B6"/>
    <mergeCell ref="C2:C6"/>
    <mergeCell ref="D2:D6"/>
    <mergeCell ref="E2:E6"/>
    <mergeCell ref="Q2:Q6"/>
    <mergeCell ref="I2:I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0"/>
  <sheetViews>
    <sheetView topLeftCell="A10" workbookViewId="0">
      <selection activeCell="H30" sqref="H30"/>
    </sheetView>
  </sheetViews>
  <sheetFormatPr defaultColWidth="8.85546875" defaultRowHeight="14.25" x14ac:dyDescent="0.2"/>
  <cols>
    <col min="1" max="1" width="8.85546875" style="43"/>
    <col min="2" max="4" width="11.7109375" style="43" customWidth="1"/>
    <col min="5" max="5" width="11.85546875" style="43" customWidth="1"/>
    <col min="6" max="6" width="11.7109375" style="43" customWidth="1"/>
    <col min="7" max="7" width="11.7109375" style="37" customWidth="1"/>
    <col min="8" max="8" width="11.85546875" style="43" customWidth="1"/>
    <col min="9" max="9" width="11.7109375" style="43" customWidth="1"/>
    <col min="10" max="10" width="11.85546875" style="43" customWidth="1"/>
    <col min="11" max="11" width="11.5703125" style="43" customWidth="1"/>
    <col min="12" max="16384" width="8.85546875" style="43"/>
  </cols>
  <sheetData>
    <row r="1" spans="1:12" ht="15.6" customHeight="1" thickBot="1" x14ac:dyDescent="0.3">
      <c r="A1" s="113" t="s">
        <v>0</v>
      </c>
      <c r="B1" s="118"/>
      <c r="C1" s="118"/>
      <c r="D1" s="114"/>
      <c r="E1" s="111" t="s">
        <v>145</v>
      </c>
      <c r="F1" s="119"/>
      <c r="G1" s="119"/>
      <c r="H1" s="119"/>
      <c r="I1" s="119"/>
      <c r="J1" s="119"/>
      <c r="K1" s="119"/>
      <c r="L1" s="112"/>
    </row>
    <row r="2" spans="1:12" ht="13.15" customHeight="1" x14ac:dyDescent="0.2">
      <c r="A2" s="123" t="s">
        <v>126</v>
      </c>
      <c r="B2" s="120" t="s">
        <v>129</v>
      </c>
      <c r="C2" s="120" t="s">
        <v>143</v>
      </c>
      <c r="D2" s="125" t="s">
        <v>144</v>
      </c>
      <c r="E2" s="123" t="s">
        <v>167</v>
      </c>
      <c r="F2" s="120" t="s">
        <v>152</v>
      </c>
      <c r="G2" s="120" t="s">
        <v>147</v>
      </c>
      <c r="H2" s="120" t="s">
        <v>148</v>
      </c>
      <c r="I2" s="120" t="s">
        <v>149</v>
      </c>
      <c r="J2" s="120" t="s">
        <v>150</v>
      </c>
      <c r="K2" s="120" t="s">
        <v>151</v>
      </c>
      <c r="L2" s="125" t="s">
        <v>153</v>
      </c>
    </row>
    <row r="3" spans="1:12" ht="13.15" customHeight="1" x14ac:dyDescent="0.2">
      <c r="A3" s="124"/>
      <c r="B3" s="121"/>
      <c r="C3" s="121"/>
      <c r="D3" s="126"/>
      <c r="E3" s="124"/>
      <c r="F3" s="121"/>
      <c r="G3" s="121"/>
      <c r="H3" s="121"/>
      <c r="I3" s="121"/>
      <c r="J3" s="121"/>
      <c r="K3" s="121"/>
      <c r="L3" s="126"/>
    </row>
    <row r="4" spans="1:12" ht="13.15" customHeight="1" x14ac:dyDescent="0.2">
      <c r="A4" s="124"/>
      <c r="B4" s="121"/>
      <c r="C4" s="121"/>
      <c r="D4" s="126"/>
      <c r="E4" s="124"/>
      <c r="F4" s="121"/>
      <c r="G4" s="121"/>
      <c r="H4" s="121"/>
      <c r="I4" s="121"/>
      <c r="J4" s="121"/>
      <c r="K4" s="121"/>
      <c r="L4" s="126"/>
    </row>
    <row r="5" spans="1:12" ht="13.15" customHeight="1" x14ac:dyDescent="0.2">
      <c r="A5" s="124"/>
      <c r="B5" s="121"/>
      <c r="C5" s="121"/>
      <c r="D5" s="126"/>
      <c r="E5" s="124"/>
      <c r="F5" s="121"/>
      <c r="G5" s="121"/>
      <c r="H5" s="121"/>
      <c r="I5" s="121"/>
      <c r="J5" s="121"/>
      <c r="K5" s="121"/>
      <c r="L5" s="126"/>
    </row>
    <row r="6" spans="1:12" ht="13.15" customHeight="1" thickBot="1" x14ac:dyDescent="0.25">
      <c r="A6" s="124"/>
      <c r="B6" s="121"/>
      <c r="C6" s="121"/>
      <c r="D6" s="126"/>
      <c r="E6" s="127"/>
      <c r="F6" s="122"/>
      <c r="G6" s="122"/>
      <c r="H6" s="122"/>
      <c r="I6" s="122"/>
      <c r="J6" s="122"/>
      <c r="K6" s="122"/>
      <c r="L6" s="128"/>
    </row>
    <row r="7" spans="1:12" ht="13.9" customHeight="1" x14ac:dyDescent="0.2">
      <c r="A7" s="33">
        <v>2</v>
      </c>
      <c r="B7" s="50">
        <v>0.15</v>
      </c>
      <c r="C7" s="50">
        <v>2.6</v>
      </c>
      <c r="D7" s="51">
        <v>2.15</v>
      </c>
      <c r="E7" s="58">
        <f>((C7*2)+(D7*2))*B7</f>
        <v>1.425</v>
      </c>
      <c r="F7" s="59">
        <f>D7*C7*0.05</f>
        <v>0.27950000000000003</v>
      </c>
      <c r="G7" s="50">
        <f>C7*10</f>
        <v>26</v>
      </c>
      <c r="H7" s="50">
        <f>ROUNDDOWN(D7*10,0)</f>
        <v>21</v>
      </c>
      <c r="I7" s="59">
        <f>G7*'Massa Nominal Aço'!$E$7</f>
        <v>4.0039999999999996</v>
      </c>
      <c r="J7" s="59">
        <f>H7*'Massa Nominal Aço'!$E$7</f>
        <v>3.234</v>
      </c>
      <c r="K7" s="59">
        <f>I7+J7</f>
        <v>7.2379999999999995</v>
      </c>
      <c r="L7" s="60">
        <f>D7*C7*B7</f>
        <v>0.83849999999999991</v>
      </c>
    </row>
    <row r="8" spans="1:12" ht="13.9" customHeight="1" x14ac:dyDescent="0.2">
      <c r="A8" s="34">
        <v>3</v>
      </c>
      <c r="B8" s="53">
        <v>0.15</v>
      </c>
      <c r="C8" s="53">
        <v>2.6</v>
      </c>
      <c r="D8" s="54">
        <v>3.15</v>
      </c>
      <c r="E8" s="61">
        <f t="shared" ref="E8:E14" si="0">((C8*2)+(D8*2))*B8</f>
        <v>1.7249999999999999</v>
      </c>
      <c r="F8" s="44">
        <f t="shared" ref="F8:F14" si="1">D8*C8*0.05</f>
        <v>0.40949999999999998</v>
      </c>
      <c r="G8" s="53">
        <f t="shared" ref="G8:G14" si="2">C8*10</f>
        <v>26</v>
      </c>
      <c r="H8" s="53">
        <f t="shared" ref="H8:H14" si="3">ROUNDDOWN(D8*10,0)</f>
        <v>31</v>
      </c>
      <c r="I8" s="44">
        <f>G8*'Massa Nominal Aço'!$E$7</f>
        <v>4.0039999999999996</v>
      </c>
      <c r="J8" s="44">
        <f>H8*'Massa Nominal Aço'!$E$7</f>
        <v>4.774</v>
      </c>
      <c r="K8" s="44">
        <f t="shared" ref="K8:K14" si="4">I8+J8</f>
        <v>8.7779999999999987</v>
      </c>
      <c r="L8" s="45">
        <f t="shared" ref="L8:L14" si="5">D8*C8*B8</f>
        <v>1.2284999999999999</v>
      </c>
    </row>
    <row r="9" spans="1:12" ht="13.9" customHeight="1" x14ac:dyDescent="0.2">
      <c r="A9" s="34">
        <v>4</v>
      </c>
      <c r="B9" s="53">
        <v>0.15</v>
      </c>
      <c r="C9" s="53">
        <v>2.6</v>
      </c>
      <c r="D9" s="54">
        <v>4.1500000000000004</v>
      </c>
      <c r="E9" s="61">
        <f t="shared" si="0"/>
        <v>2.0249999999999999</v>
      </c>
      <c r="F9" s="44">
        <f t="shared" si="1"/>
        <v>0.53950000000000009</v>
      </c>
      <c r="G9" s="53">
        <f t="shared" si="2"/>
        <v>26</v>
      </c>
      <c r="H9" s="53">
        <f t="shared" si="3"/>
        <v>41</v>
      </c>
      <c r="I9" s="44">
        <f>G9*'Massa Nominal Aço'!$E$7</f>
        <v>4.0039999999999996</v>
      </c>
      <c r="J9" s="44">
        <f>H9*'Massa Nominal Aço'!$E$7</f>
        <v>6.3140000000000001</v>
      </c>
      <c r="K9" s="44">
        <f t="shared" si="4"/>
        <v>10.318</v>
      </c>
      <c r="L9" s="45">
        <f t="shared" si="5"/>
        <v>1.6185</v>
      </c>
    </row>
    <row r="10" spans="1:12" ht="13.9" customHeight="1" x14ac:dyDescent="0.2">
      <c r="A10" s="34">
        <v>5</v>
      </c>
      <c r="B10" s="53">
        <v>0.15</v>
      </c>
      <c r="C10" s="53">
        <v>2.6</v>
      </c>
      <c r="D10" s="54">
        <v>5.15</v>
      </c>
      <c r="E10" s="61">
        <f t="shared" si="0"/>
        <v>2.3249999999999997</v>
      </c>
      <c r="F10" s="44">
        <f t="shared" si="1"/>
        <v>0.6695000000000001</v>
      </c>
      <c r="G10" s="53">
        <f t="shared" si="2"/>
        <v>26</v>
      </c>
      <c r="H10" s="53">
        <f t="shared" si="3"/>
        <v>51</v>
      </c>
      <c r="I10" s="44">
        <f>G10*'Massa Nominal Aço'!$E$7</f>
        <v>4.0039999999999996</v>
      </c>
      <c r="J10" s="44">
        <f>H10*'Massa Nominal Aço'!$E$7</f>
        <v>7.8540000000000001</v>
      </c>
      <c r="K10" s="44">
        <f t="shared" si="4"/>
        <v>11.858000000000001</v>
      </c>
      <c r="L10" s="45">
        <f t="shared" si="5"/>
        <v>2.0085000000000002</v>
      </c>
    </row>
    <row r="11" spans="1:12" ht="13.9" customHeight="1" x14ac:dyDescent="0.2">
      <c r="A11" s="34">
        <v>6</v>
      </c>
      <c r="B11" s="53">
        <v>0.15</v>
      </c>
      <c r="C11" s="53">
        <v>2.6</v>
      </c>
      <c r="D11" s="54">
        <v>6.15</v>
      </c>
      <c r="E11" s="61">
        <f t="shared" si="0"/>
        <v>2.625</v>
      </c>
      <c r="F11" s="44">
        <f t="shared" si="1"/>
        <v>0.7995000000000001</v>
      </c>
      <c r="G11" s="53">
        <f t="shared" si="2"/>
        <v>26</v>
      </c>
      <c r="H11" s="53">
        <f t="shared" si="3"/>
        <v>61</v>
      </c>
      <c r="I11" s="44">
        <f>G11*'Massa Nominal Aço'!$E$7</f>
        <v>4.0039999999999996</v>
      </c>
      <c r="J11" s="44">
        <f>H11*'Massa Nominal Aço'!$E$7</f>
        <v>9.3940000000000001</v>
      </c>
      <c r="K11" s="44">
        <f t="shared" si="4"/>
        <v>13.398</v>
      </c>
      <c r="L11" s="45">
        <f t="shared" si="5"/>
        <v>2.3985000000000003</v>
      </c>
    </row>
    <row r="12" spans="1:12" ht="13.9" customHeight="1" x14ac:dyDescent="0.2">
      <c r="A12" s="34">
        <v>7</v>
      </c>
      <c r="B12" s="53">
        <v>0.15</v>
      </c>
      <c r="C12" s="53">
        <v>2.6</v>
      </c>
      <c r="D12" s="54">
        <v>7.15</v>
      </c>
      <c r="E12" s="61">
        <f t="shared" si="0"/>
        <v>2.9249999999999998</v>
      </c>
      <c r="F12" s="44">
        <f t="shared" si="1"/>
        <v>0.92949999999999999</v>
      </c>
      <c r="G12" s="53">
        <f t="shared" si="2"/>
        <v>26</v>
      </c>
      <c r="H12" s="53">
        <f t="shared" si="3"/>
        <v>71</v>
      </c>
      <c r="I12" s="44">
        <f>G12*'Massa Nominal Aço'!$E$7</f>
        <v>4.0039999999999996</v>
      </c>
      <c r="J12" s="44">
        <f>H12*'Massa Nominal Aço'!$E$7</f>
        <v>10.933999999999999</v>
      </c>
      <c r="K12" s="44">
        <f t="shared" si="4"/>
        <v>14.937999999999999</v>
      </c>
      <c r="L12" s="45">
        <f t="shared" si="5"/>
        <v>2.7885</v>
      </c>
    </row>
    <row r="13" spans="1:12" ht="13.9" customHeight="1" x14ac:dyDescent="0.2">
      <c r="A13" s="34">
        <v>8</v>
      </c>
      <c r="B13" s="53">
        <v>0.15</v>
      </c>
      <c r="C13" s="53">
        <v>2.6</v>
      </c>
      <c r="D13" s="54">
        <v>8.15</v>
      </c>
      <c r="E13" s="61">
        <f t="shared" si="0"/>
        <v>3.2250000000000001</v>
      </c>
      <c r="F13" s="44">
        <f t="shared" si="1"/>
        <v>1.0595000000000001</v>
      </c>
      <c r="G13" s="53">
        <f t="shared" si="2"/>
        <v>26</v>
      </c>
      <c r="H13" s="53">
        <f t="shared" si="3"/>
        <v>81</v>
      </c>
      <c r="I13" s="44">
        <f>G13*'Massa Nominal Aço'!$E$7</f>
        <v>4.0039999999999996</v>
      </c>
      <c r="J13" s="44">
        <f>H13*'Massa Nominal Aço'!$E$7</f>
        <v>12.474</v>
      </c>
      <c r="K13" s="44">
        <f t="shared" si="4"/>
        <v>16.478000000000002</v>
      </c>
      <c r="L13" s="45">
        <f t="shared" si="5"/>
        <v>3.1785000000000001</v>
      </c>
    </row>
    <row r="14" spans="1:12" ht="13.9" customHeight="1" x14ac:dyDescent="0.2">
      <c r="A14" s="34">
        <v>9</v>
      </c>
      <c r="B14" s="53">
        <v>0.15</v>
      </c>
      <c r="C14" s="53">
        <v>2.6</v>
      </c>
      <c r="D14" s="54">
        <v>9.15</v>
      </c>
      <c r="E14" s="61">
        <f t="shared" si="0"/>
        <v>3.5249999999999999</v>
      </c>
      <c r="F14" s="44">
        <f t="shared" si="1"/>
        <v>1.1895000000000002</v>
      </c>
      <c r="G14" s="53">
        <f t="shared" si="2"/>
        <v>26</v>
      </c>
      <c r="H14" s="53">
        <f t="shared" si="3"/>
        <v>91</v>
      </c>
      <c r="I14" s="44">
        <f>G14*'Massa Nominal Aço'!$E$7</f>
        <v>4.0039999999999996</v>
      </c>
      <c r="J14" s="44">
        <f>H14*'Massa Nominal Aço'!$E$7</f>
        <v>14.013999999999999</v>
      </c>
      <c r="K14" s="44">
        <f t="shared" si="4"/>
        <v>18.018000000000001</v>
      </c>
      <c r="L14" s="45">
        <f t="shared" si="5"/>
        <v>3.5685000000000002</v>
      </c>
    </row>
    <row r="15" spans="1:12" ht="13.9" customHeight="1" x14ac:dyDescent="0.2">
      <c r="A15" s="34">
        <v>10</v>
      </c>
      <c r="B15" s="53">
        <v>0.15</v>
      </c>
      <c r="C15" s="53">
        <v>2.6</v>
      </c>
      <c r="D15" s="54">
        <v>10.15</v>
      </c>
      <c r="E15" s="61">
        <f t="shared" ref="E15" si="6">((C15*2)+(D15*2))*B15</f>
        <v>3.8249999999999997</v>
      </c>
      <c r="F15" s="44">
        <f t="shared" ref="F15" si="7">D15*C15*0.05</f>
        <v>1.3195000000000001</v>
      </c>
      <c r="G15" s="53">
        <f t="shared" ref="G15" si="8">C15*10</f>
        <v>26</v>
      </c>
      <c r="H15" s="53">
        <f t="shared" ref="H15" si="9">ROUNDDOWN(D15*10,0)</f>
        <v>101</v>
      </c>
      <c r="I15" s="44">
        <f>G15*'Massa Nominal Aço'!$E$7</f>
        <v>4.0039999999999996</v>
      </c>
      <c r="J15" s="44">
        <f>H15*'Massa Nominal Aço'!$E$7</f>
        <v>15.554</v>
      </c>
      <c r="K15" s="44">
        <f t="shared" ref="K15" si="10">I15+J15</f>
        <v>19.558</v>
      </c>
      <c r="L15" s="45">
        <f t="shared" ref="L15" si="11">D15*C15*B15</f>
        <v>3.9584999999999999</v>
      </c>
    </row>
    <row r="16" spans="1:12" ht="13.9" customHeight="1" x14ac:dyDescent="0.2">
      <c r="A16" s="34">
        <v>11</v>
      </c>
      <c r="B16" s="53">
        <v>0.15</v>
      </c>
      <c r="C16" s="53">
        <v>2.6</v>
      </c>
      <c r="D16" s="54">
        <v>11.15</v>
      </c>
      <c r="E16" s="61">
        <f>((C16*2)+(D16*2))*B16</f>
        <v>4.125</v>
      </c>
      <c r="F16" s="44">
        <f>D16*C16*0.05</f>
        <v>1.4495000000000002</v>
      </c>
      <c r="G16" s="53">
        <f>C16*10</f>
        <v>26</v>
      </c>
      <c r="H16" s="53">
        <f>ROUNDDOWN(D16*10,0)</f>
        <v>111</v>
      </c>
      <c r="I16" s="44">
        <f>G16*'Massa Nominal Aço'!$E$7</f>
        <v>4.0039999999999996</v>
      </c>
      <c r="J16" s="44">
        <f>H16*'Massa Nominal Aço'!$E$7</f>
        <v>17.094000000000001</v>
      </c>
      <c r="K16" s="44">
        <f>I16+J16</f>
        <v>21.097999999999999</v>
      </c>
      <c r="L16" s="45">
        <f>D16*C16*B16</f>
        <v>4.3485000000000005</v>
      </c>
    </row>
    <row r="17" spans="1:12" ht="13.9" customHeight="1" x14ac:dyDescent="0.2">
      <c r="A17" s="34">
        <v>12</v>
      </c>
      <c r="B17" s="53">
        <v>0.15</v>
      </c>
      <c r="C17" s="53">
        <v>2.6</v>
      </c>
      <c r="D17" s="54">
        <v>12.15</v>
      </c>
      <c r="E17" s="61">
        <f t="shared" ref="E17:E20" si="12">((C17*2)+(D17*2))*B17</f>
        <v>4.4249999999999998</v>
      </c>
      <c r="F17" s="44">
        <f t="shared" ref="F17:F20" si="13">D17*C17*0.05</f>
        <v>1.5795000000000003</v>
      </c>
      <c r="G17" s="53">
        <f t="shared" ref="G17:G20" si="14">C17*10</f>
        <v>26</v>
      </c>
      <c r="H17" s="53">
        <f t="shared" ref="H17:H20" si="15">ROUNDDOWN(D17*10,0)</f>
        <v>121</v>
      </c>
      <c r="I17" s="44">
        <f>G17*'Massa Nominal Aço'!$E$7</f>
        <v>4.0039999999999996</v>
      </c>
      <c r="J17" s="44">
        <f>H17*'Massa Nominal Aço'!$E$7</f>
        <v>18.634</v>
      </c>
      <c r="K17" s="44">
        <f t="shared" ref="K17:K20" si="16">I17+J17</f>
        <v>22.637999999999998</v>
      </c>
      <c r="L17" s="45">
        <f t="shared" ref="L17:L20" si="17">D17*C17*B17</f>
        <v>4.7385000000000002</v>
      </c>
    </row>
    <row r="18" spans="1:12" ht="13.9" customHeight="1" x14ac:dyDescent="0.2">
      <c r="A18" s="34">
        <v>13</v>
      </c>
      <c r="B18" s="53">
        <v>0.15</v>
      </c>
      <c r="C18" s="53">
        <v>2.6</v>
      </c>
      <c r="D18" s="54">
        <v>13.15</v>
      </c>
      <c r="E18" s="61">
        <f t="shared" si="12"/>
        <v>4.7249999999999996</v>
      </c>
      <c r="F18" s="44">
        <f t="shared" si="13"/>
        <v>1.7095000000000002</v>
      </c>
      <c r="G18" s="53">
        <f t="shared" si="14"/>
        <v>26</v>
      </c>
      <c r="H18" s="53">
        <f t="shared" si="15"/>
        <v>131</v>
      </c>
      <c r="I18" s="44">
        <f>G18*'Massa Nominal Aço'!$E$7</f>
        <v>4.0039999999999996</v>
      </c>
      <c r="J18" s="44">
        <f>H18*'Massa Nominal Aço'!$E$7</f>
        <v>20.173999999999999</v>
      </c>
      <c r="K18" s="44">
        <f t="shared" si="16"/>
        <v>24.177999999999997</v>
      </c>
      <c r="L18" s="45">
        <f t="shared" si="17"/>
        <v>5.1285000000000007</v>
      </c>
    </row>
    <row r="19" spans="1:12" ht="13.9" customHeight="1" x14ac:dyDescent="0.2">
      <c r="A19" s="34">
        <v>14</v>
      </c>
      <c r="B19" s="53">
        <v>0.15</v>
      </c>
      <c r="C19" s="53">
        <v>2.6</v>
      </c>
      <c r="D19" s="54">
        <v>14.15</v>
      </c>
      <c r="E19" s="61">
        <f t="shared" si="12"/>
        <v>5.0249999999999995</v>
      </c>
      <c r="F19" s="44">
        <f t="shared" si="13"/>
        <v>1.8395000000000001</v>
      </c>
      <c r="G19" s="53">
        <f t="shared" si="14"/>
        <v>26</v>
      </c>
      <c r="H19" s="53">
        <f t="shared" si="15"/>
        <v>141</v>
      </c>
      <c r="I19" s="44">
        <f>G19*'Massa Nominal Aço'!$E$7</f>
        <v>4.0039999999999996</v>
      </c>
      <c r="J19" s="44">
        <f>H19*'Massa Nominal Aço'!$E$7</f>
        <v>21.713999999999999</v>
      </c>
      <c r="K19" s="44">
        <f t="shared" si="16"/>
        <v>25.717999999999996</v>
      </c>
      <c r="L19" s="45">
        <f t="shared" si="17"/>
        <v>5.5184999999999995</v>
      </c>
    </row>
    <row r="20" spans="1:12" ht="13.9" customHeight="1" x14ac:dyDescent="0.2">
      <c r="A20" s="34">
        <v>15</v>
      </c>
      <c r="B20" s="53">
        <v>0.15</v>
      </c>
      <c r="C20" s="53">
        <v>2.6</v>
      </c>
      <c r="D20" s="54">
        <v>15.15</v>
      </c>
      <c r="E20" s="61">
        <f t="shared" si="12"/>
        <v>5.3250000000000002</v>
      </c>
      <c r="F20" s="44">
        <f t="shared" si="13"/>
        <v>1.9695</v>
      </c>
      <c r="G20" s="53">
        <f t="shared" si="14"/>
        <v>26</v>
      </c>
      <c r="H20" s="53">
        <f t="shared" si="15"/>
        <v>151</v>
      </c>
      <c r="I20" s="44">
        <f>G20*'Massa Nominal Aço'!$E$7</f>
        <v>4.0039999999999996</v>
      </c>
      <c r="J20" s="44">
        <f>H20*'Massa Nominal Aço'!$E$7</f>
        <v>23.254000000000001</v>
      </c>
      <c r="K20" s="44">
        <f t="shared" si="16"/>
        <v>27.258000000000003</v>
      </c>
      <c r="L20" s="45">
        <f t="shared" si="17"/>
        <v>5.9085000000000001</v>
      </c>
    </row>
    <row r="21" spans="1:12" ht="13.9" customHeight="1" thickBot="1" x14ac:dyDescent="0.25">
      <c r="A21" s="1">
        <v>16</v>
      </c>
      <c r="B21" s="56">
        <v>0.15</v>
      </c>
      <c r="C21" s="56">
        <v>2.6</v>
      </c>
      <c r="D21" s="57">
        <v>16.149999999999999</v>
      </c>
      <c r="E21" s="62">
        <f>((C21*2)+(D21*2))*B21</f>
        <v>5.625</v>
      </c>
      <c r="F21" s="46">
        <f>D21*C21*0.05</f>
        <v>2.0994999999999999</v>
      </c>
      <c r="G21" s="56">
        <f>C21*10</f>
        <v>26</v>
      </c>
      <c r="H21" s="56">
        <f>ROUNDDOWN(D21*10,0)</f>
        <v>161</v>
      </c>
      <c r="I21" s="46">
        <f>G21*'Massa Nominal Aço'!$E$7</f>
        <v>4.0039999999999996</v>
      </c>
      <c r="J21" s="46">
        <f>H21*'Massa Nominal Aço'!$E$7</f>
        <v>24.794</v>
      </c>
      <c r="K21" s="46">
        <f>I21+J21</f>
        <v>28.798000000000002</v>
      </c>
      <c r="L21" s="47">
        <f>D21*C21*B21</f>
        <v>6.2984999999999989</v>
      </c>
    </row>
    <row r="22" spans="1:12" ht="15" thickBot="1" x14ac:dyDescent="0.25"/>
    <row r="23" spans="1:12" ht="14.45" customHeight="1" thickBot="1" x14ac:dyDescent="0.25">
      <c r="A23" s="111" t="s">
        <v>154</v>
      </c>
      <c r="B23" s="119"/>
      <c r="C23" s="119"/>
      <c r="D23" s="119"/>
      <c r="E23" s="119"/>
      <c r="F23" s="119"/>
      <c r="G23" s="119"/>
      <c r="H23" s="112"/>
    </row>
    <row r="24" spans="1:12" ht="14.45" customHeight="1" thickBot="1" x14ac:dyDescent="0.25">
      <c r="A24" s="71">
        <v>1</v>
      </c>
      <c r="B24" s="72">
        <v>2</v>
      </c>
      <c r="C24" s="72">
        <v>3</v>
      </c>
      <c r="D24" s="72">
        <v>4</v>
      </c>
      <c r="E24" s="72">
        <v>5</v>
      </c>
      <c r="F24" s="72">
        <v>6</v>
      </c>
      <c r="G24" s="72">
        <v>7</v>
      </c>
      <c r="H24" s="70">
        <v>8</v>
      </c>
    </row>
    <row r="25" spans="1:12" ht="13.15" customHeight="1" x14ac:dyDescent="0.2">
      <c r="A25" s="123" t="s">
        <v>146</v>
      </c>
      <c r="B25" s="120" t="s">
        <v>152</v>
      </c>
      <c r="C25" s="120" t="s">
        <v>147</v>
      </c>
      <c r="D25" s="120" t="s">
        <v>148</v>
      </c>
      <c r="E25" s="120" t="s">
        <v>149</v>
      </c>
      <c r="F25" s="120" t="s">
        <v>150</v>
      </c>
      <c r="G25" s="120" t="s">
        <v>151</v>
      </c>
      <c r="H25" s="125" t="s">
        <v>153</v>
      </c>
    </row>
    <row r="26" spans="1:12" ht="14.45" customHeight="1" x14ac:dyDescent="0.2">
      <c r="A26" s="124"/>
      <c r="B26" s="121"/>
      <c r="C26" s="121"/>
      <c r="D26" s="121"/>
      <c r="E26" s="121"/>
      <c r="F26" s="121"/>
      <c r="G26" s="121"/>
      <c r="H26" s="126"/>
    </row>
    <row r="27" spans="1:12" ht="14.45" customHeight="1" x14ac:dyDescent="0.2">
      <c r="A27" s="124"/>
      <c r="B27" s="121"/>
      <c r="C27" s="121"/>
      <c r="D27" s="121"/>
      <c r="E27" s="121"/>
      <c r="F27" s="121"/>
      <c r="G27" s="121"/>
      <c r="H27" s="126"/>
    </row>
    <row r="28" spans="1:12" ht="14.45" customHeight="1" x14ac:dyDescent="0.2">
      <c r="A28" s="124"/>
      <c r="B28" s="121"/>
      <c r="C28" s="121"/>
      <c r="D28" s="121"/>
      <c r="E28" s="121"/>
      <c r="F28" s="121"/>
      <c r="G28" s="121"/>
      <c r="H28" s="126"/>
    </row>
    <row r="29" spans="1:12" ht="15" customHeight="1" thickBot="1" x14ac:dyDescent="0.25">
      <c r="A29" s="124"/>
      <c r="B29" s="121"/>
      <c r="C29" s="121"/>
      <c r="D29" s="121"/>
      <c r="E29" s="121"/>
      <c r="F29" s="121"/>
      <c r="G29" s="121"/>
      <c r="H29" s="126"/>
    </row>
    <row r="30" spans="1:12" ht="15" thickBot="1" x14ac:dyDescent="0.25">
      <c r="A30" s="102">
        <f>E21+E15+(3*E13)</f>
        <v>19.125</v>
      </c>
      <c r="B30" s="103">
        <f t="shared" ref="B30:H30" si="18">F21+F15+(3*F13)</f>
        <v>6.5975000000000001</v>
      </c>
      <c r="C30" s="103">
        <f t="shared" si="18"/>
        <v>130</v>
      </c>
      <c r="D30" s="103">
        <f t="shared" si="18"/>
        <v>505</v>
      </c>
      <c r="E30" s="103">
        <f t="shared" si="18"/>
        <v>20.019999999999996</v>
      </c>
      <c r="F30" s="103">
        <f t="shared" si="18"/>
        <v>77.77</v>
      </c>
      <c r="G30" s="103">
        <f t="shared" si="18"/>
        <v>97.79</v>
      </c>
      <c r="H30" s="104">
        <f t="shared" si="18"/>
        <v>19.792499999999997</v>
      </c>
    </row>
  </sheetData>
  <mergeCells count="23">
    <mergeCell ref="A2:A6"/>
    <mergeCell ref="A1:D1"/>
    <mergeCell ref="A25:A29"/>
    <mergeCell ref="D25:D29"/>
    <mergeCell ref="E25:E29"/>
    <mergeCell ref="F25:F29"/>
    <mergeCell ref="G25:G29"/>
    <mergeCell ref="H25:H29"/>
    <mergeCell ref="A23:H23"/>
    <mergeCell ref="B25:B29"/>
    <mergeCell ref="C25:C29"/>
    <mergeCell ref="F2:F6"/>
    <mergeCell ref="G2:G6"/>
    <mergeCell ref="E1:L1"/>
    <mergeCell ref="B2:B6"/>
    <mergeCell ref="C2:C6"/>
    <mergeCell ref="D2:D6"/>
    <mergeCell ref="E2:E6"/>
    <mergeCell ref="H2:H6"/>
    <mergeCell ref="I2:I6"/>
    <mergeCell ref="J2:J6"/>
    <mergeCell ref="K2:K6"/>
    <mergeCell ref="L2:L6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"/>
  <sheetViews>
    <sheetView workbookViewId="0">
      <selection activeCell="F8" sqref="F8"/>
    </sheetView>
  </sheetViews>
  <sheetFormatPr defaultColWidth="8.85546875" defaultRowHeight="14.25" x14ac:dyDescent="0.2"/>
  <cols>
    <col min="1" max="4" width="8.85546875" style="37"/>
    <col min="5" max="5" width="12.28515625" style="37" customWidth="1"/>
    <col min="6" max="6" width="9.7109375" style="37" customWidth="1"/>
    <col min="7" max="16384" width="8.85546875" style="37"/>
  </cols>
  <sheetData>
    <row r="1" spans="1:6" ht="15" customHeight="1" thickBot="1" x14ac:dyDescent="0.3">
      <c r="A1" s="113" t="s">
        <v>187</v>
      </c>
      <c r="B1" s="118"/>
      <c r="C1" s="118"/>
      <c r="D1" s="118"/>
      <c r="E1" s="118"/>
      <c r="F1" s="114"/>
    </row>
    <row r="2" spans="1:6" ht="15" customHeight="1" thickBot="1" x14ac:dyDescent="0.3">
      <c r="A2" s="67">
        <v>1</v>
      </c>
      <c r="B2" s="68">
        <v>2</v>
      </c>
      <c r="C2" s="68">
        <v>3</v>
      </c>
      <c r="D2" s="68">
        <v>4</v>
      </c>
      <c r="E2" s="68">
        <v>5</v>
      </c>
      <c r="F2" s="69">
        <v>6</v>
      </c>
    </row>
    <row r="3" spans="1:6" ht="13.9" customHeight="1" x14ac:dyDescent="0.2">
      <c r="A3" s="123" t="s">
        <v>190</v>
      </c>
      <c r="B3" s="120" t="s">
        <v>185</v>
      </c>
      <c r="C3" s="120" t="s">
        <v>184</v>
      </c>
      <c r="D3" s="120" t="s">
        <v>186</v>
      </c>
      <c r="E3" s="120" t="s">
        <v>178</v>
      </c>
      <c r="F3" s="125" t="s">
        <v>182</v>
      </c>
    </row>
    <row r="4" spans="1:6" x14ac:dyDescent="0.2">
      <c r="A4" s="124"/>
      <c r="B4" s="121"/>
      <c r="C4" s="121"/>
      <c r="D4" s="121"/>
      <c r="E4" s="121"/>
      <c r="F4" s="126"/>
    </row>
    <row r="5" spans="1:6" x14ac:dyDescent="0.2">
      <c r="A5" s="124"/>
      <c r="B5" s="121"/>
      <c r="C5" s="121"/>
      <c r="D5" s="121"/>
      <c r="E5" s="121"/>
      <c r="F5" s="126"/>
    </row>
    <row r="6" spans="1:6" x14ac:dyDescent="0.2">
      <c r="A6" s="124"/>
      <c r="B6" s="121"/>
      <c r="C6" s="121"/>
      <c r="D6" s="121"/>
      <c r="E6" s="121"/>
      <c r="F6" s="126"/>
    </row>
    <row r="7" spans="1:6" ht="15" thickBot="1" x14ac:dyDescent="0.25">
      <c r="A7" s="127"/>
      <c r="B7" s="122"/>
      <c r="C7" s="122"/>
      <c r="D7" s="122"/>
      <c r="E7" s="122"/>
      <c r="F7" s="128"/>
    </row>
    <row r="8" spans="1:6" ht="15" thickBot="1" x14ac:dyDescent="0.25">
      <c r="A8" s="73">
        <f>(1.4*1.4*1.2)*1.25</f>
        <v>2.9399999999999995</v>
      </c>
      <c r="B8" s="74">
        <f>(1.4*1.4)+((1.4*2+1.4*2)*0.1)*2</f>
        <v>3.0799999999999996</v>
      </c>
      <c r="C8" s="74">
        <f>(1.4*1.4*0.1)*2</f>
        <v>0.39199999999999996</v>
      </c>
      <c r="D8" s="74">
        <f>(1.4*2+1.4*2)*1</f>
        <v>5.6</v>
      </c>
      <c r="E8" s="74">
        <f>(1.06*2+1.11*2)*1+(1.11*1.06)</f>
        <v>5.5166000000000004</v>
      </c>
      <c r="F8" s="75">
        <f>(1.06*2+1.11*2)*1+(1.11*1.06)</f>
        <v>5.5166000000000004</v>
      </c>
    </row>
  </sheetData>
  <mergeCells count="7">
    <mergeCell ref="A3:A7"/>
    <mergeCell ref="F3:F7"/>
    <mergeCell ref="A1:F1"/>
    <mergeCell ref="E3:E7"/>
    <mergeCell ref="D3:D7"/>
    <mergeCell ref="C3:C7"/>
    <mergeCell ref="B3:B7"/>
  </mergeCells>
  <pageMargins left="0.511811024" right="0.511811024" top="0.78740157499999996" bottom="0.78740157499999996" header="0.31496062000000002" footer="0.31496062000000002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31"/>
  <sheetViews>
    <sheetView topLeftCell="Q1" workbookViewId="0">
      <selection activeCell="AA15" sqref="AA15"/>
    </sheetView>
  </sheetViews>
  <sheetFormatPr defaultColWidth="8.85546875" defaultRowHeight="15" x14ac:dyDescent="0.25"/>
  <cols>
    <col min="1" max="5" width="8.85546875" style="37"/>
    <col min="6" max="6" width="11.7109375" style="37" customWidth="1"/>
    <col min="7" max="7" width="8.85546875" style="37" customWidth="1"/>
    <col min="8" max="8" width="10.140625" style="37" customWidth="1"/>
    <col min="9" max="9" width="12.28515625" style="37" customWidth="1"/>
    <col min="10" max="10" width="8.85546875" style="37"/>
    <col min="11" max="11" width="9.140625"/>
    <col min="12" max="12" width="11.5703125" style="37" customWidth="1"/>
    <col min="13" max="13" width="11" style="37" customWidth="1"/>
    <col min="14" max="19" width="8.85546875" style="37"/>
    <col min="20" max="21" width="9.42578125" style="37" customWidth="1"/>
    <col min="22" max="23" width="8.85546875" style="37"/>
    <col min="24" max="25" width="10.28515625" style="37" customWidth="1"/>
    <col min="26" max="16384" width="8.85546875" style="37"/>
  </cols>
  <sheetData>
    <row r="1" spans="1:26" ht="16.149999999999999" customHeight="1" thickBot="1" x14ac:dyDescent="0.3">
      <c r="A1" s="129" t="s">
        <v>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1"/>
      <c r="M1" s="113" t="s">
        <v>165</v>
      </c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4"/>
    </row>
    <row r="2" spans="1:26" ht="13.9" customHeight="1" x14ac:dyDescent="0.2">
      <c r="A2" s="123" t="s">
        <v>126</v>
      </c>
      <c r="B2" s="120" t="s">
        <v>161</v>
      </c>
      <c r="C2" s="120" t="s">
        <v>155</v>
      </c>
      <c r="D2" s="120" t="s">
        <v>156</v>
      </c>
      <c r="E2" s="120" t="s">
        <v>157</v>
      </c>
      <c r="F2" s="120" t="s">
        <v>158</v>
      </c>
      <c r="G2" s="120" t="s">
        <v>159</v>
      </c>
      <c r="H2" s="120" t="s">
        <v>160</v>
      </c>
      <c r="I2" s="120" t="s">
        <v>162</v>
      </c>
      <c r="J2" s="120" t="s">
        <v>163</v>
      </c>
      <c r="K2" s="120" t="s">
        <v>164</v>
      </c>
      <c r="L2" s="125" t="s">
        <v>189</v>
      </c>
      <c r="M2" s="123" t="s">
        <v>166</v>
      </c>
      <c r="N2" s="120" t="s">
        <v>168</v>
      </c>
      <c r="O2" s="120" t="s">
        <v>169</v>
      </c>
      <c r="P2" s="120" t="s">
        <v>171</v>
      </c>
      <c r="Q2" s="120" t="s">
        <v>170</v>
      </c>
      <c r="R2" s="120" t="s">
        <v>172</v>
      </c>
      <c r="S2" s="120" t="s">
        <v>175</v>
      </c>
      <c r="T2" s="120" t="s">
        <v>173</v>
      </c>
      <c r="U2" s="120" t="s">
        <v>174</v>
      </c>
      <c r="V2" s="120" t="s">
        <v>176</v>
      </c>
      <c r="W2" s="120" t="s">
        <v>177</v>
      </c>
      <c r="X2" s="120" t="s">
        <v>183</v>
      </c>
      <c r="Y2" s="120" t="s">
        <v>179</v>
      </c>
      <c r="Z2" s="125" t="s">
        <v>180</v>
      </c>
    </row>
    <row r="3" spans="1:26" ht="14.45" customHeight="1" x14ac:dyDescent="0.2">
      <c r="A3" s="124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6"/>
      <c r="M3" s="132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6"/>
    </row>
    <row r="4" spans="1:26" ht="14.45" customHeight="1" x14ac:dyDescent="0.2">
      <c r="A4" s="124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6"/>
      <c r="M4" s="132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6"/>
    </row>
    <row r="5" spans="1:26" ht="14.45" customHeight="1" x14ac:dyDescent="0.2">
      <c r="A5" s="124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6"/>
      <c r="M5" s="132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6"/>
    </row>
    <row r="6" spans="1:26" ht="14.45" customHeight="1" thickBot="1" x14ac:dyDescent="0.25">
      <c r="A6" s="124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6"/>
      <c r="M6" s="132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6"/>
    </row>
    <row r="7" spans="1:26" ht="14.25" x14ac:dyDescent="0.2">
      <c r="A7" s="49">
        <v>2</v>
      </c>
      <c r="B7" s="50">
        <f>A7*4</f>
        <v>8</v>
      </c>
      <c r="C7" s="50">
        <v>6</v>
      </c>
      <c r="D7" s="50">
        <v>0.6</v>
      </c>
      <c r="E7" s="50">
        <v>0.86</v>
      </c>
      <c r="F7" s="50">
        <v>2.4</v>
      </c>
      <c r="G7" s="86">
        <f>E7+2+F7</f>
        <v>5.26</v>
      </c>
      <c r="H7" s="59">
        <f t="shared" ref="H7:H14" si="0">2*(F7*D7)+(D7*E7)</f>
        <v>3.3959999999999999</v>
      </c>
      <c r="I7" s="50">
        <v>2.58</v>
      </c>
      <c r="J7" s="50">
        <v>2.14</v>
      </c>
      <c r="K7" s="50">
        <v>3.2</v>
      </c>
      <c r="L7" s="59">
        <f>(2*I7*K7)+(2*J7*K7)</f>
        <v>30.208000000000002</v>
      </c>
      <c r="M7" s="88">
        <f t="shared" ref="M7:M13" si="1">(((I7*2)+(J7*2))*0.15)*4</f>
        <v>5.6640000000000006</v>
      </c>
      <c r="N7" s="89">
        <f>(I7*J7)*4</f>
        <v>22.084800000000001</v>
      </c>
      <c r="O7" s="89">
        <f>ROUNDDOWN(4*I7+4*J7,0)*'Massa Nominal Aço'!$E$7</f>
        <v>2.7719999999999998</v>
      </c>
      <c r="P7" s="89">
        <f>(I7*J7*0.04)*4</f>
        <v>0.88339200000000007</v>
      </c>
      <c r="Q7" s="89">
        <f>(K7*C7*2)*'Massa Nominal Aço'!$B$6</f>
        <v>9.4080000000000013</v>
      </c>
      <c r="R7" s="89">
        <f>(J7*K7)+(A7+1)*(I7*K7)</f>
        <v>31.616</v>
      </c>
      <c r="S7" s="89">
        <f>C7*(0.1*0.1*0.19)</f>
        <v>1.1400000000000002E-2</v>
      </c>
      <c r="T7" s="89">
        <f>(K7+0.2)*A7</f>
        <v>6.8000000000000007</v>
      </c>
      <c r="U7" s="89">
        <f>J7</f>
        <v>2.14</v>
      </c>
      <c r="V7" s="89">
        <v>10</v>
      </c>
      <c r="W7" s="89">
        <v>8</v>
      </c>
      <c r="X7" s="89">
        <f>(((D7*E7)+(2*F7*D7))*4)*A7</f>
        <v>27.167999999999999</v>
      </c>
      <c r="Y7" s="89">
        <f>(I7*K7*2)+((J7*K7)*1.1)</f>
        <v>24.044800000000002</v>
      </c>
      <c r="Z7" s="90">
        <f>(I7*K7*2)+((J7*K7)*1.1)</f>
        <v>24.044800000000002</v>
      </c>
    </row>
    <row r="8" spans="1:26" ht="14.25" x14ac:dyDescent="0.2">
      <c r="A8" s="52">
        <v>3</v>
      </c>
      <c r="B8" s="53">
        <f t="shared" ref="B8:B21" si="2">A8*4</f>
        <v>12</v>
      </c>
      <c r="C8" s="53">
        <v>8</v>
      </c>
      <c r="D8" s="53">
        <v>0.6</v>
      </c>
      <c r="E8" s="53">
        <v>0.86</v>
      </c>
      <c r="F8" s="53">
        <v>2.4</v>
      </c>
      <c r="G8" s="87">
        <f t="shared" ref="G8:G21" si="3">E8+2+F8</f>
        <v>5.26</v>
      </c>
      <c r="H8" s="44">
        <f t="shared" si="0"/>
        <v>3.3959999999999999</v>
      </c>
      <c r="I8" s="53">
        <v>2.58</v>
      </c>
      <c r="J8" s="53">
        <v>3.14</v>
      </c>
      <c r="K8" s="53">
        <v>3.2</v>
      </c>
      <c r="L8" s="44">
        <f t="shared" ref="L8:L21" si="4">(2*I8*K8)+(2*J8*K8)</f>
        <v>36.608000000000004</v>
      </c>
      <c r="M8" s="91">
        <f t="shared" si="1"/>
        <v>6.8640000000000008</v>
      </c>
      <c r="N8" s="44">
        <f t="shared" ref="N8:N21" si="5">(I8*J8)*4</f>
        <v>32.404800000000002</v>
      </c>
      <c r="O8" s="44">
        <f>ROUNDDOWN(4*I8+4*J8,0)*'Massa Nominal Aço'!$E$7</f>
        <v>3.3879999999999999</v>
      </c>
      <c r="P8" s="44">
        <f t="shared" ref="P8:P21" si="6">(I8*J8*0.04)*4</f>
        <v>1.296192</v>
      </c>
      <c r="Q8" s="44">
        <f>(K8*C8*2)*'Massa Nominal Aço'!$B$6</f>
        <v>12.544</v>
      </c>
      <c r="R8" s="44">
        <f>(J8*K8)+(A8+1)*(I8*K8)</f>
        <v>43.072000000000003</v>
      </c>
      <c r="S8" s="44">
        <f t="shared" ref="S8:S21" si="7">C8*(0.1*0.1*0.19)</f>
        <v>1.5200000000000003E-2</v>
      </c>
      <c r="T8" s="44">
        <f t="shared" ref="T8:T21" si="8">(K8+0.2)*A8</f>
        <v>10.200000000000001</v>
      </c>
      <c r="U8" s="44">
        <f t="shared" ref="U8:U21" si="9">J8</f>
        <v>3.14</v>
      </c>
      <c r="V8" s="44">
        <v>15</v>
      </c>
      <c r="W8" s="44">
        <v>12</v>
      </c>
      <c r="X8" s="44">
        <f t="shared" ref="X8:X21" si="10">(((D8*E8)+(2*F8*D8))*4)*A8</f>
        <v>40.751999999999995</v>
      </c>
      <c r="Y8" s="44">
        <f t="shared" ref="Y8:Y21" si="11">(I8*K8*2)+((J8*K8)*1.1)</f>
        <v>27.564800000000005</v>
      </c>
      <c r="Z8" s="92">
        <f t="shared" ref="Z8:Z21" si="12">(I8*K8*2)+((J8*K8)*1.1)</f>
        <v>27.564800000000005</v>
      </c>
    </row>
    <row r="9" spans="1:26" ht="14.25" x14ac:dyDescent="0.2">
      <c r="A9" s="52">
        <v>4</v>
      </c>
      <c r="B9" s="53">
        <f t="shared" si="2"/>
        <v>16</v>
      </c>
      <c r="C9" s="53">
        <v>10</v>
      </c>
      <c r="D9" s="53">
        <v>0.6</v>
      </c>
      <c r="E9" s="53">
        <v>0.86</v>
      </c>
      <c r="F9" s="53">
        <v>2.4</v>
      </c>
      <c r="G9" s="87">
        <f t="shared" si="3"/>
        <v>5.26</v>
      </c>
      <c r="H9" s="44">
        <f t="shared" si="0"/>
        <v>3.3959999999999999</v>
      </c>
      <c r="I9" s="53">
        <v>2.58</v>
      </c>
      <c r="J9" s="53">
        <v>4.1399999999999997</v>
      </c>
      <c r="K9" s="53">
        <v>3.2</v>
      </c>
      <c r="L9" s="44">
        <f t="shared" si="4"/>
        <v>43.007999999999996</v>
      </c>
      <c r="M9" s="91">
        <f t="shared" si="1"/>
        <v>8.0640000000000001</v>
      </c>
      <c r="N9" s="44">
        <f t="shared" si="5"/>
        <v>42.724799999999995</v>
      </c>
      <c r="O9" s="44">
        <f>ROUNDDOWN(4*I9+4*J9,0)*'Massa Nominal Aço'!$E$7</f>
        <v>4.0039999999999996</v>
      </c>
      <c r="P9" s="44">
        <f t="shared" si="6"/>
        <v>1.7089919999999998</v>
      </c>
      <c r="Q9" s="44">
        <f>(K9*C9*2)*'Massa Nominal Aço'!$B$6</f>
        <v>15.68</v>
      </c>
      <c r="R9" s="44">
        <f t="shared" ref="R9:R21" si="13">(J9*K9)+(A9+1)*(I9*K9)</f>
        <v>54.527999999999999</v>
      </c>
      <c r="S9" s="44">
        <f t="shared" si="7"/>
        <v>1.9000000000000003E-2</v>
      </c>
      <c r="T9" s="44">
        <f t="shared" si="8"/>
        <v>13.600000000000001</v>
      </c>
      <c r="U9" s="44">
        <f t="shared" si="9"/>
        <v>4.1399999999999997</v>
      </c>
      <c r="V9" s="44">
        <v>20</v>
      </c>
      <c r="W9" s="44">
        <v>16</v>
      </c>
      <c r="X9" s="44">
        <f t="shared" si="10"/>
        <v>54.335999999999999</v>
      </c>
      <c r="Y9" s="44">
        <f t="shared" si="11"/>
        <v>31.084800000000001</v>
      </c>
      <c r="Z9" s="92">
        <f t="shared" si="12"/>
        <v>31.084800000000001</v>
      </c>
    </row>
    <row r="10" spans="1:26" ht="14.25" x14ac:dyDescent="0.2">
      <c r="A10" s="52">
        <v>5</v>
      </c>
      <c r="B10" s="53">
        <f t="shared" si="2"/>
        <v>20</v>
      </c>
      <c r="C10" s="53">
        <v>12</v>
      </c>
      <c r="D10" s="53">
        <v>0.6</v>
      </c>
      <c r="E10" s="53">
        <v>0.86</v>
      </c>
      <c r="F10" s="53">
        <v>2.4</v>
      </c>
      <c r="G10" s="87">
        <f t="shared" si="3"/>
        <v>5.26</v>
      </c>
      <c r="H10" s="44">
        <f t="shared" si="0"/>
        <v>3.3959999999999999</v>
      </c>
      <c r="I10" s="53">
        <v>2.58</v>
      </c>
      <c r="J10" s="53">
        <v>5.14</v>
      </c>
      <c r="K10" s="53">
        <v>3.2</v>
      </c>
      <c r="L10" s="44">
        <f t="shared" si="4"/>
        <v>49.408000000000001</v>
      </c>
      <c r="M10" s="91">
        <f t="shared" si="1"/>
        <v>9.2639999999999993</v>
      </c>
      <c r="N10" s="44">
        <f t="shared" si="5"/>
        <v>53.044799999999995</v>
      </c>
      <c r="O10" s="44">
        <f>ROUNDDOWN(4*I10+4*J10,0)*'Massa Nominal Aço'!$E$7</f>
        <v>4.62</v>
      </c>
      <c r="P10" s="44">
        <f t="shared" si="6"/>
        <v>2.1217919999999997</v>
      </c>
      <c r="Q10" s="44">
        <f>(K10*C10*2)*'Massa Nominal Aço'!$B$6</f>
        <v>18.816000000000003</v>
      </c>
      <c r="R10" s="44">
        <f t="shared" si="13"/>
        <v>65.984000000000009</v>
      </c>
      <c r="S10" s="44">
        <f t="shared" si="7"/>
        <v>2.2800000000000004E-2</v>
      </c>
      <c r="T10" s="44">
        <f t="shared" si="8"/>
        <v>17</v>
      </c>
      <c r="U10" s="44">
        <f t="shared" si="9"/>
        <v>5.14</v>
      </c>
      <c r="V10" s="44">
        <v>25</v>
      </c>
      <c r="W10" s="44">
        <v>20</v>
      </c>
      <c r="X10" s="44">
        <f t="shared" si="10"/>
        <v>67.92</v>
      </c>
      <c r="Y10" s="44">
        <f t="shared" si="11"/>
        <v>34.604799999999997</v>
      </c>
      <c r="Z10" s="92">
        <f t="shared" si="12"/>
        <v>34.604799999999997</v>
      </c>
    </row>
    <row r="11" spans="1:26" ht="14.25" x14ac:dyDescent="0.2">
      <c r="A11" s="52">
        <v>6</v>
      </c>
      <c r="B11" s="53">
        <f t="shared" si="2"/>
        <v>24</v>
      </c>
      <c r="C11" s="53">
        <v>14</v>
      </c>
      <c r="D11" s="53">
        <v>0.6</v>
      </c>
      <c r="E11" s="53">
        <v>0.86</v>
      </c>
      <c r="F11" s="53">
        <v>2.4</v>
      </c>
      <c r="G11" s="87">
        <f t="shared" si="3"/>
        <v>5.26</v>
      </c>
      <c r="H11" s="44">
        <f t="shared" si="0"/>
        <v>3.3959999999999999</v>
      </c>
      <c r="I11" s="53">
        <v>2.58</v>
      </c>
      <c r="J11" s="53">
        <v>6.14</v>
      </c>
      <c r="K11" s="53">
        <v>3.2</v>
      </c>
      <c r="L11" s="44">
        <f t="shared" si="4"/>
        <v>55.808</v>
      </c>
      <c r="M11" s="91">
        <f t="shared" si="1"/>
        <v>10.463999999999999</v>
      </c>
      <c r="N11" s="44">
        <f t="shared" si="5"/>
        <v>63.364799999999995</v>
      </c>
      <c r="O11" s="44">
        <f>ROUNDDOWN(4*I11+4*J11,0)*'Massa Nominal Aço'!$E$7</f>
        <v>5.2359999999999998</v>
      </c>
      <c r="P11" s="44">
        <f t="shared" si="6"/>
        <v>2.534592</v>
      </c>
      <c r="Q11" s="44">
        <f>(K11*C11*2)*'Massa Nominal Aço'!$B$6</f>
        <v>21.952000000000002</v>
      </c>
      <c r="R11" s="44">
        <f t="shared" si="13"/>
        <v>77.44</v>
      </c>
      <c r="S11" s="44">
        <f t="shared" si="7"/>
        <v>2.6600000000000006E-2</v>
      </c>
      <c r="T11" s="44">
        <f t="shared" si="8"/>
        <v>20.400000000000002</v>
      </c>
      <c r="U11" s="44">
        <f t="shared" si="9"/>
        <v>6.14</v>
      </c>
      <c r="V11" s="44">
        <v>30</v>
      </c>
      <c r="W11" s="44">
        <v>24</v>
      </c>
      <c r="X11" s="44">
        <f t="shared" si="10"/>
        <v>81.503999999999991</v>
      </c>
      <c r="Y11" s="44">
        <f t="shared" si="11"/>
        <v>38.1248</v>
      </c>
      <c r="Z11" s="92">
        <f t="shared" si="12"/>
        <v>38.1248</v>
      </c>
    </row>
    <row r="12" spans="1:26" ht="14.25" x14ac:dyDescent="0.2">
      <c r="A12" s="52">
        <v>7</v>
      </c>
      <c r="B12" s="53">
        <f t="shared" si="2"/>
        <v>28</v>
      </c>
      <c r="C12" s="53">
        <v>16</v>
      </c>
      <c r="D12" s="53">
        <v>0.6</v>
      </c>
      <c r="E12" s="53">
        <v>0.86</v>
      </c>
      <c r="F12" s="53">
        <v>2.4</v>
      </c>
      <c r="G12" s="87">
        <f t="shared" si="3"/>
        <v>5.26</v>
      </c>
      <c r="H12" s="44">
        <f t="shared" si="0"/>
        <v>3.3959999999999999</v>
      </c>
      <c r="I12" s="53">
        <v>2.58</v>
      </c>
      <c r="J12" s="53">
        <v>7.14</v>
      </c>
      <c r="K12" s="53">
        <v>3.2</v>
      </c>
      <c r="L12" s="44">
        <f t="shared" si="4"/>
        <v>62.207999999999998</v>
      </c>
      <c r="M12" s="91">
        <f t="shared" si="1"/>
        <v>11.663999999999998</v>
      </c>
      <c r="N12" s="44">
        <f t="shared" si="5"/>
        <v>73.684799999999996</v>
      </c>
      <c r="O12" s="44">
        <f>ROUNDDOWN(4*I12+4*J12,0)*'Massa Nominal Aço'!$E$7</f>
        <v>5.8520000000000003</v>
      </c>
      <c r="P12" s="44">
        <f t="shared" si="6"/>
        <v>2.9473919999999998</v>
      </c>
      <c r="Q12" s="44">
        <f>(K12*C12*2)*'Massa Nominal Aço'!$B$6</f>
        <v>25.088000000000001</v>
      </c>
      <c r="R12" s="44">
        <f t="shared" si="13"/>
        <v>88.896000000000001</v>
      </c>
      <c r="S12" s="44">
        <f t="shared" si="7"/>
        <v>3.0400000000000007E-2</v>
      </c>
      <c r="T12" s="44">
        <f t="shared" si="8"/>
        <v>23.800000000000004</v>
      </c>
      <c r="U12" s="44">
        <f t="shared" si="9"/>
        <v>7.14</v>
      </c>
      <c r="V12" s="44">
        <v>35</v>
      </c>
      <c r="W12" s="44">
        <v>28</v>
      </c>
      <c r="X12" s="44">
        <f t="shared" si="10"/>
        <v>95.087999999999994</v>
      </c>
      <c r="Y12" s="44">
        <f t="shared" si="11"/>
        <v>41.644800000000004</v>
      </c>
      <c r="Z12" s="92">
        <f t="shared" si="12"/>
        <v>41.644800000000004</v>
      </c>
    </row>
    <row r="13" spans="1:26" ht="14.25" x14ac:dyDescent="0.2">
      <c r="A13" s="52">
        <v>8</v>
      </c>
      <c r="B13" s="53">
        <f t="shared" si="2"/>
        <v>32</v>
      </c>
      <c r="C13" s="53">
        <v>18</v>
      </c>
      <c r="D13" s="53">
        <v>0.6</v>
      </c>
      <c r="E13" s="53">
        <v>0.86</v>
      </c>
      <c r="F13" s="53">
        <v>2.4</v>
      </c>
      <c r="G13" s="87">
        <f t="shared" si="3"/>
        <v>5.26</v>
      </c>
      <c r="H13" s="44">
        <f t="shared" si="0"/>
        <v>3.3959999999999999</v>
      </c>
      <c r="I13" s="53">
        <v>2.58</v>
      </c>
      <c r="J13" s="53">
        <v>8.14</v>
      </c>
      <c r="K13" s="53">
        <v>3.2</v>
      </c>
      <c r="L13" s="44">
        <f t="shared" si="4"/>
        <v>68.608000000000004</v>
      </c>
      <c r="M13" s="91">
        <f t="shared" si="1"/>
        <v>12.864000000000001</v>
      </c>
      <c r="N13" s="44">
        <f t="shared" si="5"/>
        <v>84.004800000000003</v>
      </c>
      <c r="O13" s="44">
        <f>ROUNDDOWN(4*I13+4*J13,0)*'Massa Nominal Aço'!$E$7</f>
        <v>6.468</v>
      </c>
      <c r="P13" s="44">
        <f t="shared" si="6"/>
        <v>3.3601920000000001</v>
      </c>
      <c r="Q13" s="44">
        <f>(K13*C13*2)*'Massa Nominal Aço'!$B$6</f>
        <v>28.224</v>
      </c>
      <c r="R13" s="44">
        <f t="shared" si="13"/>
        <v>100.352</v>
      </c>
      <c r="S13" s="44">
        <f t="shared" si="7"/>
        <v>3.4200000000000008E-2</v>
      </c>
      <c r="T13" s="44">
        <f t="shared" si="8"/>
        <v>27.200000000000003</v>
      </c>
      <c r="U13" s="44">
        <f t="shared" si="9"/>
        <v>8.14</v>
      </c>
      <c r="V13" s="44">
        <v>40</v>
      </c>
      <c r="W13" s="44">
        <v>32</v>
      </c>
      <c r="X13" s="44">
        <f t="shared" si="10"/>
        <v>108.672</v>
      </c>
      <c r="Y13" s="44">
        <f t="shared" si="11"/>
        <v>45.1648</v>
      </c>
      <c r="Z13" s="92">
        <f t="shared" si="12"/>
        <v>45.1648</v>
      </c>
    </row>
    <row r="14" spans="1:26" ht="14.25" x14ac:dyDescent="0.2">
      <c r="A14" s="52">
        <v>9</v>
      </c>
      <c r="B14" s="53">
        <f t="shared" si="2"/>
        <v>36</v>
      </c>
      <c r="C14" s="53">
        <v>20</v>
      </c>
      <c r="D14" s="53">
        <v>0.6</v>
      </c>
      <c r="E14" s="53">
        <v>0.86</v>
      </c>
      <c r="F14" s="53">
        <v>2.4</v>
      </c>
      <c r="G14" s="87">
        <f t="shared" si="3"/>
        <v>5.26</v>
      </c>
      <c r="H14" s="44">
        <f t="shared" si="0"/>
        <v>3.3959999999999999</v>
      </c>
      <c r="I14" s="53">
        <v>2.58</v>
      </c>
      <c r="J14" s="53">
        <v>9.14</v>
      </c>
      <c r="K14" s="53">
        <v>3.2</v>
      </c>
      <c r="L14" s="44">
        <f t="shared" si="4"/>
        <v>75.00800000000001</v>
      </c>
      <c r="M14" s="91">
        <f>(((I14*2)+(J14*2))*0.15)*4</f>
        <v>14.064</v>
      </c>
      <c r="N14" s="44">
        <f t="shared" si="5"/>
        <v>94.32480000000001</v>
      </c>
      <c r="O14" s="44">
        <f>ROUNDDOWN(4*I14+4*J14,0)*'Massa Nominal Aço'!$E$7</f>
        <v>7.0839999999999996</v>
      </c>
      <c r="P14" s="44">
        <f t="shared" si="6"/>
        <v>3.7729920000000003</v>
      </c>
      <c r="Q14" s="44">
        <f>(K14*C14*2)*'Massa Nominal Aço'!$B$6</f>
        <v>31.36</v>
      </c>
      <c r="R14" s="44">
        <f t="shared" si="13"/>
        <v>111.80800000000001</v>
      </c>
      <c r="S14" s="44">
        <f t="shared" si="7"/>
        <v>3.8000000000000006E-2</v>
      </c>
      <c r="T14" s="44">
        <f t="shared" si="8"/>
        <v>30.6</v>
      </c>
      <c r="U14" s="44">
        <f t="shared" si="9"/>
        <v>9.14</v>
      </c>
      <c r="V14" s="44">
        <v>45</v>
      </c>
      <c r="W14" s="44">
        <v>36</v>
      </c>
      <c r="X14" s="44">
        <f t="shared" si="10"/>
        <v>122.256</v>
      </c>
      <c r="Y14" s="44">
        <f t="shared" si="11"/>
        <v>48.68480000000001</v>
      </c>
      <c r="Z14" s="92">
        <f t="shared" si="12"/>
        <v>48.68480000000001</v>
      </c>
    </row>
    <row r="15" spans="1:26" ht="14.25" x14ac:dyDescent="0.2">
      <c r="A15" s="52">
        <v>10</v>
      </c>
      <c r="B15" s="53">
        <f t="shared" si="2"/>
        <v>40</v>
      </c>
      <c r="C15" s="53">
        <v>22</v>
      </c>
      <c r="D15" s="53">
        <v>0.6</v>
      </c>
      <c r="E15" s="53">
        <v>0.86</v>
      </c>
      <c r="F15" s="53">
        <v>2.4</v>
      </c>
      <c r="G15" s="87">
        <f t="shared" si="3"/>
        <v>5.26</v>
      </c>
      <c r="H15" s="44">
        <f>2*(F15*D15)+(D15*E15)</f>
        <v>3.3959999999999999</v>
      </c>
      <c r="I15" s="53">
        <v>2.58</v>
      </c>
      <c r="J15" s="53">
        <v>10.14</v>
      </c>
      <c r="K15" s="53">
        <v>3.2</v>
      </c>
      <c r="L15" s="44">
        <f t="shared" si="4"/>
        <v>81.408000000000001</v>
      </c>
      <c r="M15" s="91">
        <f t="shared" ref="M15:M20" si="14">(((I15*2)+(J15*2))*0.15)*4</f>
        <v>15.263999999999999</v>
      </c>
      <c r="N15" s="44">
        <f t="shared" si="5"/>
        <v>104.6448</v>
      </c>
      <c r="O15" s="44">
        <f>ROUNDDOWN(4*I15+4*J15,0)*'Massa Nominal Aço'!$E$7</f>
        <v>7.7</v>
      </c>
      <c r="P15" s="44">
        <f t="shared" si="6"/>
        <v>4.1857920000000002</v>
      </c>
      <c r="Q15" s="44">
        <f>(K15*C15*2)*'Massa Nominal Aço'!$B$6</f>
        <v>34.496000000000002</v>
      </c>
      <c r="R15" s="44">
        <f t="shared" si="13"/>
        <v>123.26400000000001</v>
      </c>
      <c r="S15" s="44">
        <f t="shared" si="7"/>
        <v>4.1800000000000011E-2</v>
      </c>
      <c r="T15" s="44">
        <f t="shared" si="8"/>
        <v>34</v>
      </c>
      <c r="U15" s="44">
        <f t="shared" si="9"/>
        <v>10.14</v>
      </c>
      <c r="V15" s="44">
        <v>50</v>
      </c>
      <c r="W15" s="44">
        <v>40</v>
      </c>
      <c r="X15" s="44">
        <f t="shared" si="10"/>
        <v>135.84</v>
      </c>
      <c r="Y15" s="44">
        <f t="shared" si="11"/>
        <v>52.204800000000006</v>
      </c>
      <c r="Z15" s="92">
        <f t="shared" si="12"/>
        <v>52.204800000000006</v>
      </c>
    </row>
    <row r="16" spans="1:26" ht="14.25" x14ac:dyDescent="0.2">
      <c r="A16" s="52">
        <v>11</v>
      </c>
      <c r="B16" s="53">
        <f t="shared" si="2"/>
        <v>44</v>
      </c>
      <c r="C16" s="53">
        <v>24</v>
      </c>
      <c r="D16" s="53">
        <v>0.6</v>
      </c>
      <c r="E16" s="53">
        <v>0.86</v>
      </c>
      <c r="F16" s="53">
        <v>2.4</v>
      </c>
      <c r="G16" s="87">
        <f t="shared" si="3"/>
        <v>5.26</v>
      </c>
      <c r="H16" s="44">
        <f t="shared" ref="H16:H21" si="15">2*(F16*D16)+(D16*E16)</f>
        <v>3.3959999999999999</v>
      </c>
      <c r="I16" s="53">
        <v>2.58</v>
      </c>
      <c r="J16" s="53">
        <v>11.14</v>
      </c>
      <c r="K16" s="53">
        <v>3.2</v>
      </c>
      <c r="L16" s="44">
        <f t="shared" si="4"/>
        <v>87.808000000000007</v>
      </c>
      <c r="M16" s="91">
        <f t="shared" si="14"/>
        <v>16.463999999999999</v>
      </c>
      <c r="N16" s="44">
        <f t="shared" si="5"/>
        <v>114.96480000000001</v>
      </c>
      <c r="O16" s="44">
        <f>ROUNDDOWN(4*I16+4*J16,0)*'Massa Nominal Aço'!$E$7</f>
        <v>8.3160000000000007</v>
      </c>
      <c r="P16" s="44">
        <f t="shared" si="6"/>
        <v>4.5985920000000009</v>
      </c>
      <c r="Q16" s="44">
        <f>(K16*C16*2)*'Massa Nominal Aço'!$B$6</f>
        <v>37.632000000000005</v>
      </c>
      <c r="R16" s="44">
        <f t="shared" si="13"/>
        <v>134.72</v>
      </c>
      <c r="S16" s="44">
        <f t="shared" si="7"/>
        <v>4.5600000000000009E-2</v>
      </c>
      <c r="T16" s="44">
        <f t="shared" si="8"/>
        <v>37.400000000000006</v>
      </c>
      <c r="U16" s="44">
        <f t="shared" si="9"/>
        <v>11.14</v>
      </c>
      <c r="V16" s="44">
        <v>55</v>
      </c>
      <c r="W16" s="44">
        <v>44</v>
      </c>
      <c r="X16" s="44">
        <f t="shared" si="10"/>
        <v>149.42400000000001</v>
      </c>
      <c r="Y16" s="44">
        <f t="shared" si="11"/>
        <v>55.724800000000009</v>
      </c>
      <c r="Z16" s="92">
        <f t="shared" si="12"/>
        <v>55.724800000000009</v>
      </c>
    </row>
    <row r="17" spans="1:26" ht="14.25" x14ac:dyDescent="0.2">
      <c r="A17" s="52">
        <v>12</v>
      </c>
      <c r="B17" s="53">
        <f t="shared" si="2"/>
        <v>48</v>
      </c>
      <c r="C17" s="53">
        <v>26</v>
      </c>
      <c r="D17" s="53">
        <v>0.6</v>
      </c>
      <c r="E17" s="53">
        <v>0.86</v>
      </c>
      <c r="F17" s="53">
        <v>2.4</v>
      </c>
      <c r="G17" s="87">
        <f t="shared" si="3"/>
        <v>5.26</v>
      </c>
      <c r="H17" s="44">
        <f t="shared" si="15"/>
        <v>3.3959999999999999</v>
      </c>
      <c r="I17" s="53">
        <v>2.58</v>
      </c>
      <c r="J17" s="53">
        <v>12.14</v>
      </c>
      <c r="K17" s="53">
        <v>3.2</v>
      </c>
      <c r="L17" s="44">
        <f t="shared" si="4"/>
        <v>94.208000000000013</v>
      </c>
      <c r="M17" s="91">
        <f t="shared" si="14"/>
        <v>17.664000000000001</v>
      </c>
      <c r="N17" s="44">
        <f t="shared" si="5"/>
        <v>125.2848</v>
      </c>
      <c r="O17" s="44">
        <f>ROUNDDOWN(4*I17+4*J17,0)*'Massa Nominal Aço'!$E$7</f>
        <v>8.9320000000000004</v>
      </c>
      <c r="P17" s="44">
        <f t="shared" si="6"/>
        <v>5.0113919999999998</v>
      </c>
      <c r="Q17" s="44">
        <f>(K17*C17*2)*'Massa Nominal Aço'!$B$6</f>
        <v>40.768000000000001</v>
      </c>
      <c r="R17" s="44">
        <f t="shared" si="13"/>
        <v>146.17600000000002</v>
      </c>
      <c r="S17" s="44">
        <f t="shared" si="7"/>
        <v>4.9400000000000013E-2</v>
      </c>
      <c r="T17" s="44">
        <f t="shared" si="8"/>
        <v>40.800000000000004</v>
      </c>
      <c r="U17" s="44">
        <f t="shared" si="9"/>
        <v>12.14</v>
      </c>
      <c r="V17" s="44">
        <v>60</v>
      </c>
      <c r="W17" s="44">
        <v>48</v>
      </c>
      <c r="X17" s="44">
        <f t="shared" si="10"/>
        <v>163.00799999999998</v>
      </c>
      <c r="Y17" s="44">
        <f t="shared" si="11"/>
        <v>59.244800000000012</v>
      </c>
      <c r="Z17" s="92">
        <f t="shared" si="12"/>
        <v>59.244800000000012</v>
      </c>
    </row>
    <row r="18" spans="1:26" ht="14.25" x14ac:dyDescent="0.2">
      <c r="A18" s="52">
        <v>13</v>
      </c>
      <c r="B18" s="53">
        <f t="shared" si="2"/>
        <v>52</v>
      </c>
      <c r="C18" s="53">
        <v>28</v>
      </c>
      <c r="D18" s="53">
        <v>0.6</v>
      </c>
      <c r="E18" s="53">
        <v>0.86</v>
      </c>
      <c r="F18" s="53">
        <v>2.4</v>
      </c>
      <c r="G18" s="87">
        <f t="shared" si="3"/>
        <v>5.26</v>
      </c>
      <c r="H18" s="44">
        <f t="shared" si="15"/>
        <v>3.3959999999999999</v>
      </c>
      <c r="I18" s="53">
        <v>2.58</v>
      </c>
      <c r="J18" s="53">
        <v>13.14</v>
      </c>
      <c r="K18" s="53">
        <v>3.2</v>
      </c>
      <c r="L18" s="44">
        <f t="shared" si="4"/>
        <v>100.608</v>
      </c>
      <c r="M18" s="91">
        <f t="shared" si="14"/>
        <v>18.864000000000001</v>
      </c>
      <c r="N18" s="44">
        <f t="shared" si="5"/>
        <v>135.60480000000001</v>
      </c>
      <c r="O18" s="44">
        <f>ROUNDDOWN(4*I18+4*J18,0)*'Massa Nominal Aço'!$E$7</f>
        <v>9.548</v>
      </c>
      <c r="P18" s="44">
        <f t="shared" si="6"/>
        <v>5.4241920000000006</v>
      </c>
      <c r="Q18" s="44">
        <f>(K18*C18*2)*'Massa Nominal Aço'!$B$6</f>
        <v>43.904000000000003</v>
      </c>
      <c r="R18" s="44">
        <f t="shared" si="13"/>
        <v>157.63200000000001</v>
      </c>
      <c r="S18" s="44">
        <f t="shared" si="7"/>
        <v>5.3200000000000011E-2</v>
      </c>
      <c r="T18" s="44">
        <f t="shared" si="8"/>
        <v>44.2</v>
      </c>
      <c r="U18" s="44">
        <f t="shared" si="9"/>
        <v>13.14</v>
      </c>
      <c r="V18" s="44">
        <v>65</v>
      </c>
      <c r="W18" s="44">
        <v>52</v>
      </c>
      <c r="X18" s="44">
        <f t="shared" si="10"/>
        <v>176.59199999999998</v>
      </c>
      <c r="Y18" s="44">
        <f t="shared" si="11"/>
        <v>62.764800000000008</v>
      </c>
      <c r="Z18" s="92">
        <f t="shared" si="12"/>
        <v>62.764800000000008</v>
      </c>
    </row>
    <row r="19" spans="1:26" ht="14.25" x14ac:dyDescent="0.2">
      <c r="A19" s="52">
        <v>14</v>
      </c>
      <c r="B19" s="53">
        <f t="shared" si="2"/>
        <v>56</v>
      </c>
      <c r="C19" s="53">
        <v>30</v>
      </c>
      <c r="D19" s="53">
        <v>0.6</v>
      </c>
      <c r="E19" s="53">
        <v>0.86</v>
      </c>
      <c r="F19" s="53">
        <v>2.4</v>
      </c>
      <c r="G19" s="87">
        <f t="shared" si="3"/>
        <v>5.26</v>
      </c>
      <c r="H19" s="44">
        <f t="shared" si="15"/>
        <v>3.3959999999999999</v>
      </c>
      <c r="I19" s="53">
        <v>2.58</v>
      </c>
      <c r="J19" s="53">
        <v>14.14</v>
      </c>
      <c r="K19" s="53">
        <v>3.2</v>
      </c>
      <c r="L19" s="44">
        <f t="shared" si="4"/>
        <v>107.00800000000001</v>
      </c>
      <c r="M19" s="91">
        <f t="shared" si="14"/>
        <v>20.063999999999997</v>
      </c>
      <c r="N19" s="44">
        <f t="shared" si="5"/>
        <v>145.9248</v>
      </c>
      <c r="O19" s="44">
        <f>ROUNDDOWN(4*I19+4*J19,0)*'Massa Nominal Aço'!$E$7</f>
        <v>10.164</v>
      </c>
      <c r="P19" s="44">
        <f t="shared" si="6"/>
        <v>5.8369920000000004</v>
      </c>
      <c r="Q19" s="44">
        <f>(K19*C19*2)*'Massa Nominal Aço'!$B$6</f>
        <v>47.04</v>
      </c>
      <c r="R19" s="44">
        <f t="shared" si="13"/>
        <v>169.08800000000002</v>
      </c>
      <c r="S19" s="44">
        <f t="shared" si="7"/>
        <v>5.7000000000000016E-2</v>
      </c>
      <c r="T19" s="44">
        <f t="shared" si="8"/>
        <v>47.600000000000009</v>
      </c>
      <c r="U19" s="44">
        <f t="shared" si="9"/>
        <v>14.14</v>
      </c>
      <c r="V19" s="44">
        <v>70</v>
      </c>
      <c r="W19" s="44">
        <v>56</v>
      </c>
      <c r="X19" s="44">
        <f t="shared" si="10"/>
        <v>190.17599999999999</v>
      </c>
      <c r="Y19" s="44">
        <f t="shared" si="11"/>
        <v>66.284800000000018</v>
      </c>
      <c r="Z19" s="92">
        <f t="shared" si="12"/>
        <v>66.284800000000018</v>
      </c>
    </row>
    <row r="20" spans="1:26" ht="14.25" x14ac:dyDescent="0.2">
      <c r="A20" s="52">
        <v>15</v>
      </c>
      <c r="B20" s="53">
        <f t="shared" si="2"/>
        <v>60</v>
      </c>
      <c r="C20" s="53">
        <v>32</v>
      </c>
      <c r="D20" s="53">
        <v>0.6</v>
      </c>
      <c r="E20" s="53">
        <v>0.86</v>
      </c>
      <c r="F20" s="53">
        <v>2.4</v>
      </c>
      <c r="G20" s="87">
        <f t="shared" si="3"/>
        <v>5.26</v>
      </c>
      <c r="H20" s="44">
        <f t="shared" si="15"/>
        <v>3.3959999999999999</v>
      </c>
      <c r="I20" s="53">
        <v>2.58</v>
      </c>
      <c r="J20" s="53">
        <v>15.14</v>
      </c>
      <c r="K20" s="53">
        <v>3.2</v>
      </c>
      <c r="L20" s="44">
        <f t="shared" si="4"/>
        <v>113.40800000000002</v>
      </c>
      <c r="M20" s="91">
        <f t="shared" si="14"/>
        <v>21.263999999999999</v>
      </c>
      <c r="N20" s="44">
        <f t="shared" si="5"/>
        <v>156.2448</v>
      </c>
      <c r="O20" s="44">
        <f>ROUNDDOWN(4*I20+4*J20,0)*'Massa Nominal Aço'!$E$7</f>
        <v>10.78</v>
      </c>
      <c r="P20" s="44">
        <f t="shared" si="6"/>
        <v>6.2497920000000002</v>
      </c>
      <c r="Q20" s="44">
        <f>(K20*C20*2)*'Massa Nominal Aço'!$B$6</f>
        <v>50.176000000000002</v>
      </c>
      <c r="R20" s="44">
        <f t="shared" si="13"/>
        <v>180.54400000000001</v>
      </c>
      <c r="S20" s="44">
        <f t="shared" si="7"/>
        <v>6.0800000000000014E-2</v>
      </c>
      <c r="T20" s="44">
        <f t="shared" si="8"/>
        <v>51.000000000000007</v>
      </c>
      <c r="U20" s="44">
        <f t="shared" si="9"/>
        <v>15.14</v>
      </c>
      <c r="V20" s="44">
        <v>75</v>
      </c>
      <c r="W20" s="44">
        <v>60</v>
      </c>
      <c r="X20" s="44">
        <f t="shared" si="10"/>
        <v>203.76</v>
      </c>
      <c r="Y20" s="44">
        <f t="shared" si="11"/>
        <v>69.804800000000014</v>
      </c>
      <c r="Z20" s="92">
        <f t="shared" si="12"/>
        <v>69.804800000000014</v>
      </c>
    </row>
    <row r="21" spans="1:26" thickBot="1" x14ac:dyDescent="0.25">
      <c r="A21" s="55">
        <v>16</v>
      </c>
      <c r="B21" s="56">
        <f t="shared" si="2"/>
        <v>64</v>
      </c>
      <c r="C21" s="56">
        <v>34</v>
      </c>
      <c r="D21" s="56">
        <v>0.6</v>
      </c>
      <c r="E21" s="56">
        <v>0.86</v>
      </c>
      <c r="F21" s="56">
        <v>2.4</v>
      </c>
      <c r="G21" s="48">
        <f t="shared" si="3"/>
        <v>5.26</v>
      </c>
      <c r="H21" s="46">
        <f t="shared" si="15"/>
        <v>3.3959999999999999</v>
      </c>
      <c r="I21" s="56">
        <v>2.58</v>
      </c>
      <c r="J21" s="56">
        <v>16.14</v>
      </c>
      <c r="K21" s="56">
        <v>3.2</v>
      </c>
      <c r="L21" s="46">
        <f t="shared" si="4"/>
        <v>119.80800000000001</v>
      </c>
      <c r="M21" s="93">
        <f>(((I21*2)+(J21*2))*0.15)*4</f>
        <v>22.463999999999999</v>
      </c>
      <c r="N21" s="94">
        <f t="shared" si="5"/>
        <v>166.56480000000002</v>
      </c>
      <c r="O21" s="94">
        <f>ROUNDDOWN(4*I21+4*J21,0)*'Massa Nominal Aço'!$E$7</f>
        <v>11.395999999999999</v>
      </c>
      <c r="P21" s="94">
        <f t="shared" si="6"/>
        <v>6.662592000000001</v>
      </c>
      <c r="Q21" s="94">
        <f>(K21*C21*2)*'Massa Nominal Aço'!$B$6</f>
        <v>53.312000000000005</v>
      </c>
      <c r="R21" s="94">
        <f t="shared" si="13"/>
        <v>192</v>
      </c>
      <c r="S21" s="94">
        <f t="shared" si="7"/>
        <v>6.4600000000000019E-2</v>
      </c>
      <c r="T21" s="94">
        <f t="shared" si="8"/>
        <v>54.400000000000006</v>
      </c>
      <c r="U21" s="94">
        <f t="shared" si="9"/>
        <v>16.14</v>
      </c>
      <c r="V21" s="94">
        <v>80</v>
      </c>
      <c r="W21" s="94">
        <v>64</v>
      </c>
      <c r="X21" s="94">
        <f t="shared" si="10"/>
        <v>217.34399999999999</v>
      </c>
      <c r="Y21" s="94">
        <f t="shared" si="11"/>
        <v>73.32480000000001</v>
      </c>
      <c r="Z21" s="95">
        <f t="shared" si="12"/>
        <v>73.32480000000001</v>
      </c>
    </row>
    <row r="22" spans="1:26" ht="15.75" thickBot="1" x14ac:dyDescent="0.3"/>
    <row r="23" spans="1:26" ht="15" customHeight="1" thickBot="1" x14ac:dyDescent="0.25">
      <c r="A23" s="129" t="s">
        <v>203</v>
      </c>
      <c r="B23" s="130"/>
      <c r="C23" s="130"/>
      <c r="D23" s="119"/>
      <c r="E23" s="130"/>
      <c r="F23" s="130"/>
      <c r="G23" s="130"/>
      <c r="H23" s="130"/>
      <c r="I23" s="130"/>
      <c r="J23" s="130"/>
      <c r="K23" s="130"/>
      <c r="L23" s="130"/>
      <c r="M23" s="130"/>
      <c r="N23" s="112"/>
    </row>
    <row r="24" spans="1:26" ht="15" customHeight="1" thickBot="1" x14ac:dyDescent="0.25">
      <c r="A24" s="100">
        <v>1</v>
      </c>
      <c r="B24" s="100">
        <v>2</v>
      </c>
      <c r="C24" s="98">
        <v>3</v>
      </c>
      <c r="D24" s="100">
        <v>4</v>
      </c>
      <c r="E24" s="100">
        <v>5</v>
      </c>
      <c r="F24" s="100">
        <v>6</v>
      </c>
      <c r="G24" s="98">
        <v>7</v>
      </c>
      <c r="H24" s="101">
        <v>8</v>
      </c>
      <c r="I24" s="101">
        <v>9</v>
      </c>
      <c r="J24" s="101">
        <v>10</v>
      </c>
      <c r="K24" s="101">
        <v>11</v>
      </c>
      <c r="L24" s="101">
        <v>12</v>
      </c>
      <c r="M24" s="101">
        <v>13</v>
      </c>
      <c r="N24" s="70">
        <v>14</v>
      </c>
    </row>
    <row r="25" spans="1:26" ht="13.9" customHeight="1" x14ac:dyDescent="0.2">
      <c r="A25" s="135" t="s">
        <v>166</v>
      </c>
      <c r="B25" s="135" t="s">
        <v>168</v>
      </c>
      <c r="C25" s="137" t="s">
        <v>169</v>
      </c>
      <c r="D25" s="135" t="s">
        <v>171</v>
      </c>
      <c r="E25" s="135" t="s">
        <v>170</v>
      </c>
      <c r="F25" s="135" t="s">
        <v>172</v>
      </c>
      <c r="G25" s="137" t="s">
        <v>175</v>
      </c>
      <c r="H25" s="133" t="s">
        <v>173</v>
      </c>
      <c r="I25" s="133" t="s">
        <v>174</v>
      </c>
      <c r="J25" s="133" t="s">
        <v>176</v>
      </c>
      <c r="K25" s="133" t="s">
        <v>177</v>
      </c>
      <c r="L25" s="133" t="s">
        <v>183</v>
      </c>
      <c r="M25" s="133" t="s">
        <v>179</v>
      </c>
      <c r="N25" s="125" t="s">
        <v>180</v>
      </c>
    </row>
    <row r="26" spans="1:26" ht="14.25" x14ac:dyDescent="0.2">
      <c r="A26" s="136"/>
      <c r="B26" s="136"/>
      <c r="C26" s="138"/>
      <c r="D26" s="136"/>
      <c r="E26" s="136"/>
      <c r="F26" s="136"/>
      <c r="G26" s="138"/>
      <c r="H26" s="134"/>
      <c r="I26" s="134"/>
      <c r="J26" s="134"/>
      <c r="K26" s="134"/>
      <c r="L26" s="134"/>
      <c r="M26" s="134"/>
      <c r="N26" s="126"/>
    </row>
    <row r="27" spans="1:26" ht="14.25" x14ac:dyDescent="0.2">
      <c r="A27" s="136"/>
      <c r="B27" s="136"/>
      <c r="C27" s="138"/>
      <c r="D27" s="136"/>
      <c r="E27" s="136"/>
      <c r="F27" s="136"/>
      <c r="G27" s="138"/>
      <c r="H27" s="134"/>
      <c r="I27" s="134"/>
      <c r="J27" s="134"/>
      <c r="K27" s="134"/>
      <c r="L27" s="134"/>
      <c r="M27" s="134"/>
      <c r="N27" s="126"/>
    </row>
    <row r="28" spans="1:26" ht="14.25" x14ac:dyDescent="0.2">
      <c r="A28" s="136"/>
      <c r="B28" s="136"/>
      <c r="C28" s="138"/>
      <c r="D28" s="136"/>
      <c r="E28" s="136"/>
      <c r="F28" s="136"/>
      <c r="G28" s="138"/>
      <c r="H28" s="134"/>
      <c r="I28" s="134"/>
      <c r="J28" s="134"/>
      <c r="K28" s="134"/>
      <c r="L28" s="134"/>
      <c r="M28" s="134"/>
      <c r="N28" s="126"/>
    </row>
    <row r="29" spans="1:26" ht="14.25" x14ac:dyDescent="0.2">
      <c r="A29" s="136"/>
      <c r="B29" s="136"/>
      <c r="C29" s="138"/>
      <c r="D29" s="136"/>
      <c r="E29" s="136"/>
      <c r="F29" s="136"/>
      <c r="G29" s="138"/>
      <c r="H29" s="134"/>
      <c r="I29" s="134"/>
      <c r="J29" s="134"/>
      <c r="K29" s="134"/>
      <c r="L29" s="134"/>
      <c r="M29" s="134"/>
      <c r="N29" s="126"/>
    </row>
    <row r="30" spans="1:26" ht="14.45" customHeight="1" thickBot="1" x14ac:dyDescent="0.25">
      <c r="A30" s="136"/>
      <c r="B30" s="136"/>
      <c r="C30" s="138"/>
      <c r="D30" s="136"/>
      <c r="E30" s="139"/>
      <c r="F30" s="136"/>
      <c r="G30" s="138"/>
      <c r="H30" s="134"/>
      <c r="I30" s="134"/>
      <c r="J30" s="134"/>
      <c r="K30" s="134"/>
      <c r="L30" s="134"/>
      <c r="M30" s="134"/>
      <c r="N30" s="126"/>
    </row>
    <row r="31" spans="1:26" thickBot="1" x14ac:dyDescent="0.25">
      <c r="A31" s="96">
        <f>M21+M15+(3*M13)</f>
        <v>76.319999999999993</v>
      </c>
      <c r="B31" s="96">
        <f t="shared" ref="B31:N31" si="16">N21+N15+(3*N13)</f>
        <v>523.22400000000005</v>
      </c>
      <c r="C31" s="99">
        <f t="shared" si="16"/>
        <v>38.5</v>
      </c>
      <c r="D31" s="96">
        <f t="shared" si="16"/>
        <v>20.928960000000004</v>
      </c>
      <c r="E31" s="96">
        <f t="shared" si="16"/>
        <v>172.48000000000002</v>
      </c>
      <c r="F31" s="96">
        <f t="shared" si="16"/>
        <v>616.32000000000005</v>
      </c>
      <c r="G31" s="99">
        <f t="shared" si="16"/>
        <v>0.20900000000000005</v>
      </c>
      <c r="H31" s="97">
        <f t="shared" si="16"/>
        <v>170</v>
      </c>
      <c r="I31" s="97">
        <f t="shared" si="16"/>
        <v>50.7</v>
      </c>
      <c r="J31" s="97">
        <f t="shared" si="16"/>
        <v>250</v>
      </c>
      <c r="K31" s="97">
        <f t="shared" si="16"/>
        <v>200</v>
      </c>
      <c r="L31" s="97">
        <f t="shared" si="16"/>
        <v>679.19999999999993</v>
      </c>
      <c r="M31" s="97">
        <f t="shared" si="16"/>
        <v>261.024</v>
      </c>
      <c r="N31" s="97">
        <f t="shared" si="16"/>
        <v>261.024</v>
      </c>
    </row>
  </sheetData>
  <mergeCells count="43">
    <mergeCell ref="K25:K30"/>
    <mergeCell ref="L25:L30"/>
    <mergeCell ref="M25:M30"/>
    <mergeCell ref="N25:N30"/>
    <mergeCell ref="A23:N23"/>
    <mergeCell ref="A25:A30"/>
    <mergeCell ref="B25:B30"/>
    <mergeCell ref="C25:C30"/>
    <mergeCell ref="D25:D30"/>
    <mergeCell ref="E25:E30"/>
    <mergeCell ref="F25:F30"/>
    <mergeCell ref="G25:G30"/>
    <mergeCell ref="H25:H30"/>
    <mergeCell ref="I25:I30"/>
    <mergeCell ref="J25:J30"/>
    <mergeCell ref="X2:X6"/>
    <mergeCell ref="Y2:Y6"/>
    <mergeCell ref="Z2:Z6"/>
    <mergeCell ref="M1:Z1"/>
    <mergeCell ref="R2:R6"/>
    <mergeCell ref="T2:T6"/>
    <mergeCell ref="U2:U6"/>
    <mergeCell ref="S2:S6"/>
    <mergeCell ref="V2:V6"/>
    <mergeCell ref="W2:W6"/>
    <mergeCell ref="O2:O6"/>
    <mergeCell ref="Q2:Q6"/>
    <mergeCell ref="P2:P6"/>
    <mergeCell ref="A1:L1"/>
    <mergeCell ref="M2:M6"/>
    <mergeCell ref="N2:N6"/>
    <mergeCell ref="A2:A6"/>
    <mergeCell ref="L2:L6"/>
    <mergeCell ref="C2:C6"/>
    <mergeCell ref="D2:D6"/>
    <mergeCell ref="E2:E6"/>
    <mergeCell ref="F2:F6"/>
    <mergeCell ref="G2:G6"/>
    <mergeCell ref="H2:H6"/>
    <mergeCell ref="B2:B6"/>
    <mergeCell ref="I2:I6"/>
    <mergeCell ref="J2:J6"/>
    <mergeCell ref="K2:K6"/>
  </mergeCells>
  <pageMargins left="0.511811024" right="0.511811024" top="0.78740157499999996" bottom="0.78740157499999996" header="0.31496062000000002" footer="0.31496062000000002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2">
    <pageSetUpPr fitToPage="1"/>
  </sheetPr>
  <dimension ref="A1:H97"/>
  <sheetViews>
    <sheetView zoomScale="80" zoomScaleNormal="80" workbookViewId="0">
      <pane ySplit="8" topLeftCell="A41" activePane="bottomLeft" state="frozen"/>
      <selection pane="bottomLeft" activeCell="A76" sqref="A76:F97"/>
    </sheetView>
  </sheetViews>
  <sheetFormatPr defaultColWidth="8.85546875" defaultRowHeight="15" x14ac:dyDescent="0.2"/>
  <cols>
    <col min="1" max="1" width="5.7109375" style="4" bestFit="1" customWidth="1"/>
    <col min="2" max="2" width="15.7109375" style="4" customWidth="1"/>
    <col min="3" max="3" width="11.28515625" style="4" customWidth="1"/>
    <col min="4" max="4" width="171.28515625" style="4" bestFit="1" customWidth="1"/>
    <col min="5" max="6" width="13.28515625" style="4" customWidth="1"/>
    <col min="7" max="8" width="8.7109375" style="4" customWidth="1"/>
    <col min="9" max="16384" width="8.85546875" style="4"/>
  </cols>
  <sheetData>
    <row r="1" spans="1:8" ht="15" customHeight="1" x14ac:dyDescent="0.2">
      <c r="A1" s="156"/>
      <c r="B1" s="157"/>
      <c r="C1" s="158"/>
      <c r="D1" s="169" t="s">
        <v>3</v>
      </c>
      <c r="E1" s="170"/>
      <c r="F1" s="171"/>
      <c r="G1" s="3"/>
      <c r="H1" s="3"/>
    </row>
    <row r="2" spans="1:8" ht="15" customHeight="1" x14ac:dyDescent="0.2">
      <c r="A2" s="159"/>
      <c r="B2" s="160"/>
      <c r="C2" s="161"/>
      <c r="D2" s="172"/>
      <c r="E2" s="173"/>
      <c r="F2" s="174"/>
      <c r="G2" s="3"/>
      <c r="H2" s="3"/>
    </row>
    <row r="3" spans="1:8" ht="15" customHeight="1" x14ac:dyDescent="0.2">
      <c r="A3" s="159"/>
      <c r="B3" s="160"/>
      <c r="C3" s="161"/>
      <c r="D3" s="172" t="s">
        <v>4</v>
      </c>
      <c r="E3" s="173"/>
      <c r="F3" s="174"/>
      <c r="G3" s="3"/>
      <c r="H3" s="3"/>
    </row>
    <row r="4" spans="1:8" ht="15" customHeight="1" x14ac:dyDescent="0.2">
      <c r="A4" s="159"/>
      <c r="B4" s="160"/>
      <c r="C4" s="161"/>
      <c r="D4" s="172"/>
      <c r="E4" s="173"/>
      <c r="F4" s="174"/>
      <c r="G4" s="3"/>
      <c r="H4" s="3"/>
    </row>
    <row r="5" spans="1:8" ht="15" customHeight="1" x14ac:dyDescent="0.2">
      <c r="A5" s="159"/>
      <c r="B5" s="160"/>
      <c r="C5" s="161"/>
      <c r="D5" s="172" t="s">
        <v>5</v>
      </c>
      <c r="E5" s="173"/>
      <c r="F5" s="174"/>
      <c r="G5" s="3"/>
      <c r="H5" s="3"/>
    </row>
    <row r="6" spans="1:8" ht="15" customHeight="1" x14ac:dyDescent="0.2">
      <c r="A6" s="159"/>
      <c r="B6" s="160"/>
      <c r="C6" s="161"/>
      <c r="D6" s="172"/>
      <c r="E6" s="173"/>
      <c r="F6" s="174"/>
      <c r="G6" s="3"/>
      <c r="H6" s="3"/>
    </row>
    <row r="7" spans="1:8" ht="15" customHeight="1" x14ac:dyDescent="0.2">
      <c r="A7" s="162"/>
      <c r="B7" s="163"/>
      <c r="C7" s="164"/>
      <c r="D7" s="175" t="s">
        <v>63</v>
      </c>
      <c r="E7" s="176"/>
      <c r="F7" s="177"/>
      <c r="G7" s="3"/>
      <c r="H7" s="3"/>
    </row>
    <row r="8" spans="1:8" ht="15.75" x14ac:dyDescent="0.2">
      <c r="A8" s="9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 t="s">
        <v>12</v>
      </c>
    </row>
    <row r="9" spans="1:8" ht="15.75" x14ac:dyDescent="0.25">
      <c r="A9" s="165" t="s">
        <v>13</v>
      </c>
      <c r="B9" s="165"/>
      <c r="C9" s="165"/>
      <c r="D9" s="165"/>
      <c r="E9" s="165"/>
      <c r="F9" s="165"/>
    </row>
    <row r="10" spans="1:8" x14ac:dyDescent="0.2">
      <c r="A10" s="166">
        <v>1</v>
      </c>
      <c r="B10" s="6" t="s">
        <v>202</v>
      </c>
      <c r="C10" s="7" t="s">
        <v>14</v>
      </c>
      <c r="D10" s="5" t="s">
        <v>15</v>
      </c>
      <c r="E10" s="6" t="s">
        <v>16</v>
      </c>
      <c r="F10" s="6">
        <v>8</v>
      </c>
    </row>
    <row r="11" spans="1:8" x14ac:dyDescent="0.2">
      <c r="A11" s="166"/>
      <c r="B11" s="167" t="s">
        <v>17</v>
      </c>
      <c r="C11" s="167"/>
      <c r="D11" s="168" t="s">
        <v>21</v>
      </c>
      <c r="E11" s="168"/>
      <c r="F11" s="168"/>
    </row>
    <row r="12" spans="1:8" x14ac:dyDescent="0.2">
      <c r="A12" s="166"/>
      <c r="B12" s="167"/>
      <c r="C12" s="167"/>
      <c r="D12" s="168"/>
      <c r="E12" s="168"/>
      <c r="F12" s="168"/>
    </row>
    <row r="13" spans="1:8" ht="15.75" x14ac:dyDescent="0.2">
      <c r="A13" s="140" t="s">
        <v>79</v>
      </c>
      <c r="B13" s="141"/>
      <c r="C13" s="141"/>
      <c r="D13" s="141"/>
      <c r="E13" s="141"/>
      <c r="F13" s="142"/>
    </row>
    <row r="14" spans="1:8" x14ac:dyDescent="0.2">
      <c r="A14" s="166">
        <v>1</v>
      </c>
      <c r="B14" s="6" t="s">
        <v>202</v>
      </c>
      <c r="C14" s="7" t="s">
        <v>27</v>
      </c>
      <c r="D14" s="5" t="s">
        <v>28</v>
      </c>
      <c r="E14" s="6" t="s">
        <v>16</v>
      </c>
      <c r="F14" s="13">
        <f>'Base - Radier'!A30</f>
        <v>19.125</v>
      </c>
    </row>
    <row r="15" spans="1:8" x14ac:dyDescent="0.2">
      <c r="A15" s="166"/>
      <c r="B15" s="167" t="s">
        <v>17</v>
      </c>
      <c r="C15" s="167"/>
      <c r="D15" s="168" t="s">
        <v>100</v>
      </c>
      <c r="E15" s="168"/>
      <c r="F15" s="168"/>
    </row>
    <row r="16" spans="1:8" x14ac:dyDescent="0.2">
      <c r="A16" s="166"/>
      <c r="B16" s="167"/>
      <c r="C16" s="167"/>
      <c r="D16" s="168"/>
      <c r="E16" s="168"/>
      <c r="F16" s="168"/>
    </row>
    <row r="17" spans="1:6" x14ac:dyDescent="0.2">
      <c r="A17" s="143">
        <v>2</v>
      </c>
      <c r="B17" s="6" t="s">
        <v>202</v>
      </c>
      <c r="C17" s="7" t="s">
        <v>101</v>
      </c>
      <c r="D17" s="20" t="s">
        <v>102</v>
      </c>
      <c r="E17" s="6" t="s">
        <v>18</v>
      </c>
      <c r="F17" s="13">
        <f>'Base - Radier'!B30</f>
        <v>6.5975000000000001</v>
      </c>
    </row>
    <row r="18" spans="1:6" ht="15.6" customHeight="1" x14ac:dyDescent="0.2">
      <c r="A18" s="144"/>
      <c r="B18" s="146" t="s">
        <v>17</v>
      </c>
      <c r="C18" s="147"/>
      <c r="D18" s="150" t="s">
        <v>199</v>
      </c>
      <c r="E18" s="151"/>
      <c r="F18" s="152"/>
    </row>
    <row r="19" spans="1:6" ht="15.6" customHeight="1" x14ac:dyDescent="0.2">
      <c r="A19" s="145"/>
      <c r="B19" s="148"/>
      <c r="C19" s="149"/>
      <c r="D19" s="153"/>
      <c r="E19" s="154"/>
      <c r="F19" s="155"/>
    </row>
    <row r="20" spans="1:6" x14ac:dyDescent="0.2">
      <c r="A20" s="166">
        <v>3</v>
      </c>
      <c r="B20" s="6" t="s">
        <v>19</v>
      </c>
      <c r="C20" s="7" t="s">
        <v>29</v>
      </c>
      <c r="D20" s="5" t="s">
        <v>30</v>
      </c>
      <c r="E20" s="6" t="s">
        <v>25</v>
      </c>
      <c r="F20" s="13">
        <f>'Base - Radier'!G30</f>
        <v>97.79</v>
      </c>
    </row>
    <row r="21" spans="1:6" x14ac:dyDescent="0.2">
      <c r="A21" s="166"/>
      <c r="B21" s="167" t="s">
        <v>17</v>
      </c>
      <c r="C21" s="167"/>
      <c r="D21" s="168" t="s">
        <v>54</v>
      </c>
      <c r="E21" s="168"/>
      <c r="F21" s="168"/>
    </row>
    <row r="22" spans="1:6" x14ac:dyDescent="0.2">
      <c r="A22" s="166"/>
      <c r="B22" s="167"/>
      <c r="C22" s="167"/>
      <c r="D22" s="168"/>
      <c r="E22" s="168"/>
      <c r="F22" s="168"/>
    </row>
    <row r="23" spans="1:6" x14ac:dyDescent="0.2">
      <c r="A23" s="166">
        <v>4</v>
      </c>
      <c r="B23" s="6" t="s">
        <v>202</v>
      </c>
      <c r="C23" s="7" t="s">
        <v>31</v>
      </c>
      <c r="D23" s="5" t="s">
        <v>62</v>
      </c>
      <c r="E23" s="6" t="s">
        <v>18</v>
      </c>
      <c r="F23" s="13">
        <f>'Base - Radier'!H30</f>
        <v>19.792499999999997</v>
      </c>
    </row>
    <row r="24" spans="1:6" x14ac:dyDescent="0.2">
      <c r="A24" s="166"/>
      <c r="B24" s="167" t="s">
        <v>17</v>
      </c>
      <c r="C24" s="167"/>
      <c r="D24" s="168" t="s">
        <v>55</v>
      </c>
      <c r="E24" s="168"/>
      <c r="F24" s="168"/>
    </row>
    <row r="25" spans="1:6" x14ac:dyDescent="0.2">
      <c r="A25" s="166"/>
      <c r="B25" s="167"/>
      <c r="C25" s="167"/>
      <c r="D25" s="168"/>
      <c r="E25" s="168"/>
      <c r="F25" s="168"/>
    </row>
    <row r="26" spans="1:6" ht="15.75" x14ac:dyDescent="0.2">
      <c r="A26" s="140" t="s">
        <v>53</v>
      </c>
      <c r="B26" s="141"/>
      <c r="C26" s="141"/>
      <c r="D26" s="141"/>
      <c r="E26" s="141"/>
      <c r="F26" s="142"/>
    </row>
    <row r="27" spans="1:6" x14ac:dyDescent="0.2">
      <c r="A27" s="166">
        <v>1</v>
      </c>
      <c r="B27" s="6" t="s">
        <v>202</v>
      </c>
      <c r="C27" s="7" t="s">
        <v>71</v>
      </c>
      <c r="D27" s="10" t="s">
        <v>72</v>
      </c>
      <c r="E27" s="6" t="s">
        <v>18</v>
      </c>
      <c r="F27" s="13">
        <f>'Base - Cx Necro'!A8*3</f>
        <v>8.8199999999999985</v>
      </c>
    </row>
    <row r="28" spans="1:6" x14ac:dyDescent="0.2">
      <c r="A28" s="166"/>
      <c r="B28" s="167" t="s">
        <v>17</v>
      </c>
      <c r="C28" s="167"/>
      <c r="D28" s="178" t="s">
        <v>229</v>
      </c>
      <c r="E28" s="168"/>
      <c r="F28" s="168"/>
    </row>
    <row r="29" spans="1:6" x14ac:dyDescent="0.2">
      <c r="A29" s="166"/>
      <c r="B29" s="167"/>
      <c r="C29" s="167"/>
      <c r="D29" s="168"/>
      <c r="E29" s="168"/>
      <c r="F29" s="168"/>
    </row>
    <row r="30" spans="1:6" x14ac:dyDescent="0.2">
      <c r="A30" s="166">
        <v>2</v>
      </c>
      <c r="B30" s="6" t="s">
        <v>202</v>
      </c>
      <c r="C30" s="7" t="s">
        <v>27</v>
      </c>
      <c r="D30" s="5" t="s">
        <v>28</v>
      </c>
      <c r="E30" s="6" t="s">
        <v>16</v>
      </c>
      <c r="F30" s="13">
        <f>'Base - Cx Necro'!B8*3</f>
        <v>9.2399999999999984</v>
      </c>
    </row>
    <row r="31" spans="1:6" x14ac:dyDescent="0.2">
      <c r="A31" s="166"/>
      <c r="B31" s="167" t="s">
        <v>17</v>
      </c>
      <c r="C31" s="167"/>
      <c r="D31" s="178" t="s">
        <v>230</v>
      </c>
      <c r="E31" s="168"/>
      <c r="F31" s="168"/>
    </row>
    <row r="32" spans="1:6" x14ac:dyDescent="0.2">
      <c r="A32" s="166"/>
      <c r="B32" s="167"/>
      <c r="C32" s="167"/>
      <c r="D32" s="168"/>
      <c r="E32" s="168"/>
      <c r="F32" s="168"/>
    </row>
    <row r="33" spans="1:6" x14ac:dyDescent="0.2">
      <c r="A33" s="166">
        <v>3</v>
      </c>
      <c r="B33" s="6" t="s">
        <v>202</v>
      </c>
      <c r="C33" s="8" t="s">
        <v>31</v>
      </c>
      <c r="D33" s="5" t="s">
        <v>32</v>
      </c>
      <c r="E33" s="6" t="s">
        <v>18</v>
      </c>
      <c r="F33" s="13">
        <f>'Base - Cx Necro'!C8*3</f>
        <v>1.1759999999999999</v>
      </c>
    </row>
    <row r="34" spans="1:6" x14ac:dyDescent="0.2">
      <c r="A34" s="166"/>
      <c r="B34" s="167" t="s">
        <v>17</v>
      </c>
      <c r="C34" s="167"/>
      <c r="D34" s="178" t="s">
        <v>231</v>
      </c>
      <c r="E34" s="168"/>
      <c r="F34" s="168"/>
    </row>
    <row r="35" spans="1:6" x14ac:dyDescent="0.2">
      <c r="A35" s="166"/>
      <c r="B35" s="167"/>
      <c r="C35" s="167"/>
      <c r="D35" s="168"/>
      <c r="E35" s="168"/>
      <c r="F35" s="168"/>
    </row>
    <row r="36" spans="1:6" x14ac:dyDescent="0.2">
      <c r="A36" s="166">
        <v>4</v>
      </c>
      <c r="B36" s="6" t="s">
        <v>202</v>
      </c>
      <c r="C36" s="7" t="s">
        <v>22</v>
      </c>
      <c r="D36" s="5" t="s">
        <v>23</v>
      </c>
      <c r="E36" s="6" t="s">
        <v>16</v>
      </c>
      <c r="F36" s="13">
        <f>'Base - Cx Necro'!D8*3</f>
        <v>16.799999999999997</v>
      </c>
    </row>
    <row r="37" spans="1:6" x14ac:dyDescent="0.2">
      <c r="A37" s="166"/>
      <c r="B37" s="167" t="s">
        <v>17</v>
      </c>
      <c r="C37" s="167"/>
      <c r="D37" s="178" t="s">
        <v>232</v>
      </c>
      <c r="E37" s="168"/>
      <c r="F37" s="168"/>
    </row>
    <row r="38" spans="1:6" x14ac:dyDescent="0.2">
      <c r="A38" s="166"/>
      <c r="B38" s="167"/>
      <c r="C38" s="167"/>
      <c r="D38" s="168"/>
      <c r="E38" s="168"/>
      <c r="F38" s="168"/>
    </row>
    <row r="39" spans="1:6" x14ac:dyDescent="0.2">
      <c r="A39" s="143">
        <v>5</v>
      </c>
      <c r="B39" s="6" t="s">
        <v>202</v>
      </c>
      <c r="C39" s="7" t="s">
        <v>46</v>
      </c>
      <c r="D39" s="5" t="s">
        <v>45</v>
      </c>
      <c r="E39" s="6" t="s">
        <v>16</v>
      </c>
      <c r="F39" s="13">
        <f>'Base - Cx Necro'!E8*3</f>
        <v>16.549800000000001</v>
      </c>
    </row>
    <row r="40" spans="1:6" ht="15.6" customHeight="1" x14ac:dyDescent="0.2">
      <c r="A40" s="144"/>
      <c r="B40" s="146" t="s">
        <v>17</v>
      </c>
      <c r="C40" s="147"/>
      <c r="D40" s="179" t="s">
        <v>233</v>
      </c>
      <c r="E40" s="151"/>
      <c r="F40" s="152"/>
    </row>
    <row r="41" spans="1:6" ht="15.6" customHeight="1" x14ac:dyDescent="0.2">
      <c r="A41" s="145"/>
      <c r="B41" s="148"/>
      <c r="C41" s="149"/>
      <c r="D41" s="153"/>
      <c r="E41" s="154"/>
      <c r="F41" s="155"/>
    </row>
    <row r="42" spans="1:6" ht="15.75" x14ac:dyDescent="0.2">
      <c r="A42" s="166" t="s">
        <v>2</v>
      </c>
      <c r="B42" s="166"/>
      <c r="C42" s="166"/>
      <c r="D42" s="166"/>
      <c r="E42" s="166"/>
      <c r="F42" s="166"/>
    </row>
    <row r="43" spans="1:6" x14ac:dyDescent="0.2">
      <c r="A43" s="166">
        <v>1</v>
      </c>
      <c r="B43" s="6" t="s">
        <v>202</v>
      </c>
      <c r="C43" s="7" t="s">
        <v>22</v>
      </c>
      <c r="D43" s="5" t="s">
        <v>33</v>
      </c>
      <c r="E43" s="6" t="s">
        <v>16</v>
      </c>
      <c r="F43" s="13">
        <f>'Base - Gavetario'!F31*1.1</f>
        <v>677.95200000000011</v>
      </c>
    </row>
    <row r="44" spans="1:6" x14ac:dyDescent="0.2">
      <c r="A44" s="166"/>
      <c r="B44" s="167" t="s">
        <v>17</v>
      </c>
      <c r="C44" s="167"/>
      <c r="D44" s="168" t="s">
        <v>103</v>
      </c>
      <c r="E44" s="168"/>
      <c r="F44" s="168"/>
    </row>
    <row r="45" spans="1:6" x14ac:dyDescent="0.2">
      <c r="A45" s="166"/>
      <c r="B45" s="167"/>
      <c r="C45" s="167"/>
      <c r="D45" s="168"/>
      <c r="E45" s="168"/>
      <c r="F45" s="168"/>
    </row>
    <row r="46" spans="1:6" x14ac:dyDescent="0.2">
      <c r="A46" s="166">
        <v>2</v>
      </c>
      <c r="B46" s="6" t="s">
        <v>202</v>
      </c>
      <c r="C46" s="7" t="s">
        <v>24</v>
      </c>
      <c r="D46" s="5" t="s">
        <v>26</v>
      </c>
      <c r="E46" s="6" t="s">
        <v>25</v>
      </c>
      <c r="F46" s="13">
        <f>'Base - Gavetario'!E31</f>
        <v>172.48000000000002</v>
      </c>
    </row>
    <row r="47" spans="1:6" ht="15" customHeight="1" x14ac:dyDescent="0.2">
      <c r="A47" s="166"/>
      <c r="B47" s="146" t="s">
        <v>17</v>
      </c>
      <c r="C47" s="147"/>
      <c r="D47" s="150" t="s">
        <v>67</v>
      </c>
      <c r="E47" s="151"/>
      <c r="F47" s="152"/>
    </row>
    <row r="48" spans="1:6" ht="15" customHeight="1" x14ac:dyDescent="0.2">
      <c r="A48" s="166"/>
      <c r="B48" s="148"/>
      <c r="C48" s="149"/>
      <c r="D48" s="153"/>
      <c r="E48" s="154"/>
      <c r="F48" s="155"/>
    </row>
    <row r="49" spans="1:6" x14ac:dyDescent="0.2">
      <c r="A49" s="166">
        <v>3</v>
      </c>
      <c r="B49" s="6" t="s">
        <v>202</v>
      </c>
      <c r="C49" s="7" t="s">
        <v>31</v>
      </c>
      <c r="D49" s="5" t="s">
        <v>32</v>
      </c>
      <c r="E49" s="6" t="s">
        <v>18</v>
      </c>
      <c r="F49" s="13">
        <f>'Base - Gavetario'!G31</f>
        <v>0.20900000000000005</v>
      </c>
    </row>
    <row r="50" spans="1:6" ht="15" customHeight="1" x14ac:dyDescent="0.2">
      <c r="A50" s="166"/>
      <c r="B50" s="167" t="s">
        <v>17</v>
      </c>
      <c r="C50" s="167"/>
      <c r="D50" s="168" t="s">
        <v>81</v>
      </c>
      <c r="E50" s="168"/>
      <c r="F50" s="168"/>
    </row>
    <row r="51" spans="1:6" ht="15" customHeight="1" x14ac:dyDescent="0.2">
      <c r="A51" s="166"/>
      <c r="B51" s="167"/>
      <c r="C51" s="167"/>
      <c r="D51" s="168"/>
      <c r="E51" s="168"/>
      <c r="F51" s="168"/>
    </row>
    <row r="52" spans="1:6" x14ac:dyDescent="0.2">
      <c r="A52" s="166">
        <v>4</v>
      </c>
      <c r="B52" s="6" t="s">
        <v>202</v>
      </c>
      <c r="C52" s="7" t="s">
        <v>27</v>
      </c>
      <c r="D52" s="5" t="s">
        <v>28</v>
      </c>
      <c r="E52" s="6" t="s">
        <v>16</v>
      </c>
      <c r="F52" s="13">
        <f>'Base - Gavetario'!A31</f>
        <v>76.319999999999993</v>
      </c>
    </row>
    <row r="53" spans="1:6" x14ac:dyDescent="0.2">
      <c r="A53" s="166"/>
      <c r="B53" s="167" t="s">
        <v>17</v>
      </c>
      <c r="C53" s="167"/>
      <c r="D53" s="168" t="s">
        <v>68</v>
      </c>
      <c r="E53" s="168"/>
      <c r="F53" s="168"/>
    </row>
    <row r="54" spans="1:6" x14ac:dyDescent="0.2">
      <c r="A54" s="166"/>
      <c r="B54" s="167"/>
      <c r="C54" s="167"/>
      <c r="D54" s="168"/>
      <c r="E54" s="168"/>
      <c r="F54" s="168"/>
    </row>
    <row r="55" spans="1:6" x14ac:dyDescent="0.2">
      <c r="A55" s="166">
        <v>5</v>
      </c>
      <c r="B55" s="6" t="s">
        <v>19</v>
      </c>
      <c r="C55" s="7" t="s">
        <v>34</v>
      </c>
      <c r="D55" s="5" t="s">
        <v>35</v>
      </c>
      <c r="E55" s="6" t="s">
        <v>16</v>
      </c>
      <c r="F55" s="13">
        <f>'Base - Gavetario'!B31</f>
        <v>523.22400000000005</v>
      </c>
    </row>
    <row r="56" spans="1:6" x14ac:dyDescent="0.2">
      <c r="A56" s="166"/>
      <c r="B56" s="167" t="s">
        <v>17</v>
      </c>
      <c r="C56" s="167"/>
      <c r="D56" s="168" t="s">
        <v>56</v>
      </c>
      <c r="E56" s="168"/>
      <c r="F56" s="168"/>
    </row>
    <row r="57" spans="1:6" x14ac:dyDescent="0.2">
      <c r="A57" s="166"/>
      <c r="B57" s="167"/>
      <c r="C57" s="167"/>
      <c r="D57" s="168"/>
      <c r="E57" s="168"/>
      <c r="F57" s="168"/>
    </row>
    <row r="58" spans="1:6" x14ac:dyDescent="0.2">
      <c r="A58" s="166">
        <v>6</v>
      </c>
      <c r="B58" s="6" t="s">
        <v>202</v>
      </c>
      <c r="C58" s="7" t="s">
        <v>36</v>
      </c>
      <c r="D58" s="5" t="s">
        <v>37</v>
      </c>
      <c r="E58" s="6" t="s">
        <v>25</v>
      </c>
      <c r="F58" s="13">
        <f>'Base - Gavetario'!C31</f>
        <v>38.5</v>
      </c>
    </row>
    <row r="59" spans="1:6" x14ac:dyDescent="0.2">
      <c r="A59" s="166"/>
      <c r="B59" s="167" t="s">
        <v>17</v>
      </c>
      <c r="C59" s="167"/>
      <c r="D59" s="168" t="s">
        <v>69</v>
      </c>
      <c r="E59" s="168"/>
      <c r="F59" s="168"/>
    </row>
    <row r="60" spans="1:6" x14ac:dyDescent="0.2">
      <c r="A60" s="166"/>
      <c r="B60" s="167"/>
      <c r="C60" s="167"/>
      <c r="D60" s="168"/>
      <c r="E60" s="168"/>
      <c r="F60" s="168"/>
    </row>
    <row r="61" spans="1:6" x14ac:dyDescent="0.2">
      <c r="A61" s="166">
        <v>7</v>
      </c>
      <c r="B61" s="6" t="s">
        <v>202</v>
      </c>
      <c r="C61" s="7" t="s">
        <v>31</v>
      </c>
      <c r="D61" s="5" t="s">
        <v>32</v>
      </c>
      <c r="E61" s="6" t="s">
        <v>18</v>
      </c>
      <c r="F61" s="13">
        <f>'Base - Gavetario'!D31</f>
        <v>20.928960000000004</v>
      </c>
    </row>
    <row r="62" spans="1:6" x14ac:dyDescent="0.2">
      <c r="A62" s="166"/>
      <c r="B62" s="167" t="s">
        <v>17</v>
      </c>
      <c r="C62" s="167"/>
      <c r="D62" s="168" t="s">
        <v>70</v>
      </c>
      <c r="E62" s="168"/>
      <c r="F62" s="168"/>
    </row>
    <row r="63" spans="1:6" x14ac:dyDescent="0.2">
      <c r="A63" s="166"/>
      <c r="B63" s="167"/>
      <c r="C63" s="167"/>
      <c r="D63" s="168"/>
      <c r="E63" s="168"/>
      <c r="F63" s="168"/>
    </row>
    <row r="64" spans="1:6" x14ac:dyDescent="0.2">
      <c r="A64" s="166">
        <v>8</v>
      </c>
      <c r="B64" s="6" t="s">
        <v>202</v>
      </c>
      <c r="C64" s="7" t="s">
        <v>46</v>
      </c>
      <c r="D64" s="5" t="s">
        <v>45</v>
      </c>
      <c r="E64" s="6" t="s">
        <v>16</v>
      </c>
      <c r="F64" s="13">
        <f>'Base - Gavetario'!L31</f>
        <v>679.19999999999993</v>
      </c>
    </row>
    <row r="65" spans="1:6" x14ac:dyDescent="0.2">
      <c r="A65" s="166"/>
      <c r="B65" s="167" t="s">
        <v>17</v>
      </c>
      <c r="C65" s="167"/>
      <c r="D65" s="168" t="s">
        <v>59</v>
      </c>
      <c r="E65" s="168"/>
      <c r="F65" s="168"/>
    </row>
    <row r="66" spans="1:6" x14ac:dyDescent="0.2">
      <c r="A66" s="166"/>
      <c r="B66" s="167"/>
      <c r="C66" s="167"/>
      <c r="D66" s="168"/>
      <c r="E66" s="168"/>
      <c r="F66" s="168"/>
    </row>
    <row r="67" spans="1:6" x14ac:dyDescent="0.2">
      <c r="A67" s="143">
        <v>9</v>
      </c>
      <c r="B67" s="6" t="s">
        <v>202</v>
      </c>
      <c r="C67" s="7" t="s">
        <v>39</v>
      </c>
      <c r="D67" s="5" t="s">
        <v>42</v>
      </c>
      <c r="E67" s="6" t="s">
        <v>20</v>
      </c>
      <c r="F67" s="6">
        <f>'Base - Gavetario'!H31+'Base - Gavetario'!I31</f>
        <v>220.7</v>
      </c>
    </row>
    <row r="68" spans="1:6" ht="15.6" customHeight="1" x14ac:dyDescent="0.2">
      <c r="A68" s="144"/>
      <c r="B68" s="146" t="s">
        <v>17</v>
      </c>
      <c r="C68" s="147"/>
      <c r="D68" s="150" t="s">
        <v>57</v>
      </c>
      <c r="E68" s="151"/>
      <c r="F68" s="152"/>
    </row>
    <row r="69" spans="1:6" ht="15.6" customHeight="1" x14ac:dyDescent="0.2">
      <c r="A69" s="145"/>
      <c r="B69" s="148"/>
      <c r="C69" s="149"/>
      <c r="D69" s="153"/>
      <c r="E69" s="154"/>
      <c r="F69" s="155"/>
    </row>
    <row r="70" spans="1:6" x14ac:dyDescent="0.2">
      <c r="A70" s="143">
        <v>10</v>
      </c>
      <c r="B70" s="6" t="s">
        <v>19</v>
      </c>
      <c r="C70" s="7" t="s">
        <v>40</v>
      </c>
      <c r="D70" s="5" t="s">
        <v>43</v>
      </c>
      <c r="E70" s="6" t="s">
        <v>11</v>
      </c>
      <c r="F70" s="6">
        <f>'Base - Gavetario'!K31</f>
        <v>200</v>
      </c>
    </row>
    <row r="71" spans="1:6" ht="15.6" customHeight="1" x14ac:dyDescent="0.2">
      <c r="A71" s="144"/>
      <c r="B71" s="146" t="s">
        <v>17</v>
      </c>
      <c r="C71" s="147"/>
      <c r="D71" s="150" t="s">
        <v>58</v>
      </c>
      <c r="E71" s="151"/>
      <c r="F71" s="152"/>
    </row>
    <row r="72" spans="1:6" ht="15.6" customHeight="1" x14ac:dyDescent="0.2">
      <c r="A72" s="145"/>
      <c r="B72" s="148"/>
      <c r="C72" s="149"/>
      <c r="D72" s="153"/>
      <c r="E72" s="154"/>
      <c r="F72" s="155"/>
    </row>
    <row r="73" spans="1:6" x14ac:dyDescent="0.2">
      <c r="A73" s="143">
        <v>11</v>
      </c>
      <c r="B73" s="6" t="s">
        <v>19</v>
      </c>
      <c r="C73" s="7" t="s">
        <v>41</v>
      </c>
      <c r="D73" s="5" t="s">
        <v>44</v>
      </c>
      <c r="E73" s="6" t="s">
        <v>11</v>
      </c>
      <c r="F73" s="6">
        <f>'Base - Gavetario'!J31</f>
        <v>250</v>
      </c>
    </row>
    <row r="74" spans="1:6" ht="15.6" customHeight="1" x14ac:dyDescent="0.2">
      <c r="A74" s="144"/>
      <c r="B74" s="146" t="s">
        <v>17</v>
      </c>
      <c r="C74" s="147"/>
      <c r="D74" s="150" t="s">
        <v>58</v>
      </c>
      <c r="E74" s="151"/>
      <c r="F74" s="152"/>
    </row>
    <row r="75" spans="1:6" ht="15.6" customHeight="1" x14ac:dyDescent="0.2">
      <c r="A75" s="145"/>
      <c r="B75" s="148"/>
      <c r="C75" s="149"/>
      <c r="D75" s="153"/>
      <c r="E75" s="154"/>
      <c r="F75" s="155"/>
    </row>
    <row r="76" spans="1:6" ht="15.75" x14ac:dyDescent="0.25">
      <c r="A76" s="165" t="s">
        <v>38</v>
      </c>
      <c r="B76" s="165"/>
      <c r="C76" s="165"/>
      <c r="D76" s="165"/>
      <c r="E76" s="165"/>
      <c r="F76" s="165"/>
    </row>
    <row r="77" spans="1:6" x14ac:dyDescent="0.2">
      <c r="A77" s="143">
        <v>1</v>
      </c>
      <c r="B77" s="6" t="s">
        <v>202</v>
      </c>
      <c r="C77" s="7" t="s">
        <v>82</v>
      </c>
      <c r="D77" s="5" t="s">
        <v>83</v>
      </c>
      <c r="E77" s="6" t="s">
        <v>16</v>
      </c>
      <c r="F77" s="6">
        <f>'Base - Gavetario'!M31</f>
        <v>261.024</v>
      </c>
    </row>
    <row r="78" spans="1:6" ht="15.6" customHeight="1" x14ac:dyDescent="0.2">
      <c r="A78" s="144"/>
      <c r="B78" s="167" t="s">
        <v>17</v>
      </c>
      <c r="C78" s="167"/>
      <c r="D78" s="168" t="s">
        <v>196</v>
      </c>
      <c r="E78" s="168"/>
      <c r="F78" s="168"/>
    </row>
    <row r="79" spans="1:6" ht="15.6" customHeight="1" x14ac:dyDescent="0.2">
      <c r="A79" s="145"/>
      <c r="B79" s="167"/>
      <c r="C79" s="167"/>
      <c r="D79" s="168"/>
      <c r="E79" s="168"/>
      <c r="F79" s="168"/>
    </row>
    <row r="80" spans="1:6" x14ac:dyDescent="0.2">
      <c r="A80" s="166">
        <v>2</v>
      </c>
      <c r="B80" s="6" t="s">
        <v>202</v>
      </c>
      <c r="C80" s="7" t="s">
        <v>47</v>
      </c>
      <c r="D80" s="5" t="s">
        <v>50</v>
      </c>
      <c r="E80" s="6" t="s">
        <v>16</v>
      </c>
      <c r="F80" s="6">
        <f>'Base - Gavetario'!M31</f>
        <v>261.024</v>
      </c>
    </row>
    <row r="81" spans="1:6" x14ac:dyDescent="0.2">
      <c r="A81" s="166"/>
      <c r="B81" s="167" t="s">
        <v>17</v>
      </c>
      <c r="C81" s="167"/>
      <c r="D81" s="168" t="s">
        <v>60</v>
      </c>
      <c r="E81" s="168"/>
      <c r="F81" s="168"/>
    </row>
    <row r="82" spans="1:6" x14ac:dyDescent="0.2">
      <c r="A82" s="166"/>
      <c r="B82" s="167"/>
      <c r="C82" s="167"/>
      <c r="D82" s="168"/>
      <c r="E82" s="168"/>
      <c r="F82" s="168"/>
    </row>
    <row r="83" spans="1:6" x14ac:dyDescent="0.2">
      <c r="A83" s="166">
        <v>3</v>
      </c>
      <c r="B83" s="6" t="s">
        <v>202</v>
      </c>
      <c r="C83" s="7" t="s">
        <v>48</v>
      </c>
      <c r="D83" s="5" t="s">
        <v>51</v>
      </c>
      <c r="E83" s="6" t="s">
        <v>16</v>
      </c>
      <c r="F83" s="6">
        <f>'Base - Gavetario'!N31</f>
        <v>261.024</v>
      </c>
    </row>
    <row r="84" spans="1:6" x14ac:dyDescent="0.2">
      <c r="A84" s="166"/>
      <c r="B84" s="167" t="s">
        <v>17</v>
      </c>
      <c r="C84" s="167"/>
      <c r="D84" s="168" t="s">
        <v>61</v>
      </c>
      <c r="E84" s="168"/>
      <c r="F84" s="168"/>
    </row>
    <row r="85" spans="1:6" x14ac:dyDescent="0.2">
      <c r="A85" s="166"/>
      <c r="B85" s="167"/>
      <c r="C85" s="167"/>
      <c r="D85" s="168"/>
      <c r="E85" s="168"/>
      <c r="F85" s="168"/>
    </row>
    <row r="86" spans="1:6" x14ac:dyDescent="0.2">
      <c r="A86" s="166">
        <v>4</v>
      </c>
      <c r="B86" s="6" t="s">
        <v>202</v>
      </c>
      <c r="C86" s="7" t="s">
        <v>49</v>
      </c>
      <c r="D86" s="5" t="s">
        <v>52</v>
      </c>
      <c r="E86" s="6" t="s">
        <v>16</v>
      </c>
      <c r="F86" s="13">
        <v>420.92200000000003</v>
      </c>
    </row>
    <row r="87" spans="1:6" x14ac:dyDescent="0.2">
      <c r="A87" s="166"/>
      <c r="B87" s="167" t="s">
        <v>17</v>
      </c>
      <c r="C87" s="167"/>
      <c r="D87" s="168" t="s">
        <v>228</v>
      </c>
      <c r="E87" s="168"/>
      <c r="F87" s="168"/>
    </row>
    <row r="88" spans="1:6" x14ac:dyDescent="0.2">
      <c r="A88" s="166"/>
      <c r="B88" s="167"/>
      <c r="C88" s="167"/>
      <c r="D88" s="168"/>
      <c r="E88" s="168"/>
      <c r="F88" s="168"/>
    </row>
    <row r="89" spans="1:6" ht="15" customHeight="1" x14ac:dyDescent="0.2">
      <c r="A89" s="180" t="s">
        <v>204</v>
      </c>
      <c r="B89" s="180"/>
      <c r="C89" s="180"/>
      <c r="D89" s="180"/>
      <c r="E89" s="180"/>
      <c r="F89" s="180"/>
    </row>
    <row r="90" spans="1:6" ht="15" customHeight="1" x14ac:dyDescent="0.2">
      <c r="A90" s="181"/>
      <c r="B90" s="181"/>
      <c r="C90" s="181"/>
      <c r="D90" s="181"/>
      <c r="E90" s="181"/>
      <c r="F90" s="181"/>
    </row>
    <row r="91" spans="1:6" ht="15" customHeight="1" x14ac:dyDescent="0.2">
      <c r="A91" s="181"/>
      <c r="B91" s="181"/>
      <c r="C91" s="181"/>
      <c r="D91" s="181"/>
      <c r="E91" s="181"/>
      <c r="F91" s="181"/>
    </row>
    <row r="92" spans="1:6" ht="15" customHeight="1" x14ac:dyDescent="0.2">
      <c r="A92" s="181"/>
      <c r="B92" s="181"/>
      <c r="C92" s="181"/>
      <c r="D92" s="181"/>
      <c r="E92" s="181"/>
      <c r="F92" s="181"/>
    </row>
    <row r="93" spans="1:6" ht="15" customHeight="1" x14ac:dyDescent="0.2">
      <c r="A93" s="181"/>
      <c r="B93" s="181"/>
      <c r="C93" s="181"/>
      <c r="D93" s="181"/>
      <c r="E93" s="181"/>
      <c r="F93" s="181"/>
    </row>
    <row r="94" spans="1:6" ht="15" customHeight="1" x14ac:dyDescent="0.2">
      <c r="A94" s="181"/>
      <c r="B94" s="181"/>
      <c r="C94" s="181"/>
      <c r="D94" s="181"/>
      <c r="E94" s="181"/>
      <c r="F94" s="181"/>
    </row>
    <row r="95" spans="1:6" ht="15" customHeight="1" x14ac:dyDescent="0.2">
      <c r="A95" s="181"/>
      <c r="B95" s="181"/>
      <c r="C95" s="181"/>
      <c r="D95" s="181"/>
      <c r="E95" s="181"/>
      <c r="F95" s="181"/>
    </row>
    <row r="96" spans="1:6" ht="15" customHeight="1" x14ac:dyDescent="0.2">
      <c r="A96" s="181"/>
      <c r="B96" s="181"/>
      <c r="C96" s="181"/>
      <c r="D96" s="181"/>
      <c r="E96" s="181"/>
      <c r="F96" s="181"/>
    </row>
    <row r="97" spans="1:6" x14ac:dyDescent="0.2">
      <c r="A97" s="181"/>
      <c r="B97" s="181"/>
      <c r="C97" s="181"/>
      <c r="D97" s="181"/>
      <c r="E97" s="181"/>
      <c r="F97" s="181"/>
    </row>
  </sheetData>
  <mergeCells count="86">
    <mergeCell ref="A89:F97"/>
    <mergeCell ref="B74:C75"/>
    <mergeCell ref="A76:F76"/>
    <mergeCell ref="A64:A66"/>
    <mergeCell ref="A80:A82"/>
    <mergeCell ref="A83:A85"/>
    <mergeCell ref="A86:A88"/>
    <mergeCell ref="B65:C66"/>
    <mergeCell ref="B81:C82"/>
    <mergeCell ref="B84:C85"/>
    <mergeCell ref="B87:C88"/>
    <mergeCell ref="D65:F66"/>
    <mergeCell ref="D81:F82"/>
    <mergeCell ref="D84:F85"/>
    <mergeCell ref="D87:F88"/>
    <mergeCell ref="A77:A79"/>
    <mergeCell ref="B78:C79"/>
    <mergeCell ref="D78:F79"/>
    <mergeCell ref="D68:F69"/>
    <mergeCell ref="D71:F72"/>
    <mergeCell ref="D74:F75"/>
    <mergeCell ref="A67:A69"/>
    <mergeCell ref="A70:A72"/>
    <mergeCell ref="A73:A75"/>
    <mergeCell ref="B68:C69"/>
    <mergeCell ref="B71:C72"/>
    <mergeCell ref="A58:A60"/>
    <mergeCell ref="B59:C60"/>
    <mergeCell ref="D59:F60"/>
    <mergeCell ref="A61:A63"/>
    <mergeCell ref="B62:C63"/>
    <mergeCell ref="D62:F63"/>
    <mergeCell ref="A52:A54"/>
    <mergeCell ref="B53:C54"/>
    <mergeCell ref="D53:F54"/>
    <mergeCell ref="A55:A57"/>
    <mergeCell ref="B56:C57"/>
    <mergeCell ref="D56:F57"/>
    <mergeCell ref="A46:A48"/>
    <mergeCell ref="B47:C48"/>
    <mergeCell ref="D47:F48"/>
    <mergeCell ref="A49:A51"/>
    <mergeCell ref="B50:C51"/>
    <mergeCell ref="D50:F51"/>
    <mergeCell ref="A36:A38"/>
    <mergeCell ref="B37:C38"/>
    <mergeCell ref="D37:F38"/>
    <mergeCell ref="A42:F42"/>
    <mergeCell ref="A43:A45"/>
    <mergeCell ref="B44:C45"/>
    <mergeCell ref="D44:F45"/>
    <mergeCell ref="A39:A41"/>
    <mergeCell ref="B40:C41"/>
    <mergeCell ref="D40:F41"/>
    <mergeCell ref="A27:A29"/>
    <mergeCell ref="A26:F26"/>
    <mergeCell ref="A30:A32"/>
    <mergeCell ref="A33:A35"/>
    <mergeCell ref="B28:C29"/>
    <mergeCell ref="D28:F29"/>
    <mergeCell ref="B31:C32"/>
    <mergeCell ref="D31:F32"/>
    <mergeCell ref="B34:C35"/>
    <mergeCell ref="D34:F35"/>
    <mergeCell ref="A20:A22"/>
    <mergeCell ref="B21:C22"/>
    <mergeCell ref="A23:A25"/>
    <mergeCell ref="B24:C25"/>
    <mergeCell ref="D21:F22"/>
    <mergeCell ref="D24:F25"/>
    <mergeCell ref="A13:F13"/>
    <mergeCell ref="A17:A19"/>
    <mergeCell ref="B18:C19"/>
    <mergeCell ref="D18:F19"/>
    <mergeCell ref="A1:C7"/>
    <mergeCell ref="A9:F9"/>
    <mergeCell ref="A10:A12"/>
    <mergeCell ref="B11:C12"/>
    <mergeCell ref="A14:A16"/>
    <mergeCell ref="B15:C16"/>
    <mergeCell ref="D15:F16"/>
    <mergeCell ref="D11:F12"/>
    <mergeCell ref="D1:F2"/>
    <mergeCell ref="D3:F4"/>
    <mergeCell ref="D5:F6"/>
    <mergeCell ref="D7:F7"/>
  </mergeCells>
  <pageMargins left="0.511811024" right="0.511811024" top="0.78740157499999996" bottom="0.78740157499999996" header="0.31496062000000002" footer="0.31496062000000002"/>
  <pageSetup paperSize="9" scale="57" fitToHeight="0" orientation="landscape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3"/>
  <dimension ref="A1:D16"/>
  <sheetViews>
    <sheetView zoomScale="90" zoomScaleNormal="90" workbookViewId="0">
      <selection activeCell="C5" sqref="C5"/>
    </sheetView>
  </sheetViews>
  <sheetFormatPr defaultColWidth="8.85546875" defaultRowHeight="14.25" x14ac:dyDescent="0.2"/>
  <cols>
    <col min="1" max="1" width="84.7109375" style="37" bestFit="1" customWidth="1"/>
    <col min="2" max="2" width="11.7109375" style="37" bestFit="1" customWidth="1"/>
    <col min="3" max="3" width="11.42578125" style="37" bestFit="1" customWidth="1"/>
    <col min="4" max="4" width="11.5703125" style="37" bestFit="1" customWidth="1"/>
    <col min="5" max="16384" width="8.85546875" style="37"/>
  </cols>
  <sheetData>
    <row r="1" spans="1:4" ht="15" x14ac:dyDescent="0.2">
      <c r="A1" s="184" t="s">
        <v>124</v>
      </c>
      <c r="B1" s="185"/>
      <c r="C1" s="185"/>
      <c r="D1" s="185"/>
    </row>
    <row r="2" spans="1:4" ht="15" x14ac:dyDescent="0.2">
      <c r="A2" s="182" t="s">
        <v>104</v>
      </c>
      <c r="B2" s="182" t="s">
        <v>105</v>
      </c>
      <c r="C2" s="40" t="s">
        <v>205</v>
      </c>
      <c r="D2" s="40" t="s">
        <v>206</v>
      </c>
    </row>
    <row r="3" spans="1:4" ht="15" x14ac:dyDescent="0.2">
      <c r="A3" s="183"/>
      <c r="B3" s="183"/>
      <c r="C3" s="40" t="s">
        <v>106</v>
      </c>
      <c r="D3" s="40" t="s">
        <v>106</v>
      </c>
    </row>
    <row r="4" spans="1:4" x14ac:dyDescent="0.2">
      <c r="A4" s="42" t="s">
        <v>114</v>
      </c>
      <c r="B4" s="38" t="s">
        <v>115</v>
      </c>
      <c r="C4" s="39">
        <v>4.9299999999999997E-2</v>
      </c>
      <c r="D4" s="39">
        <v>4.4600000000000001E-2</v>
      </c>
    </row>
    <row r="5" spans="1:4" x14ac:dyDescent="0.2">
      <c r="A5" s="42" t="s">
        <v>107</v>
      </c>
      <c r="B5" s="38" t="s">
        <v>116</v>
      </c>
      <c r="C5" s="39">
        <v>6.1999999999999998E-3</v>
      </c>
      <c r="D5" s="39">
        <v>6.1999999999999998E-3</v>
      </c>
    </row>
    <row r="6" spans="1:4" x14ac:dyDescent="0.2">
      <c r="A6" s="42" t="s">
        <v>108</v>
      </c>
      <c r="B6" s="38" t="s">
        <v>117</v>
      </c>
      <c r="C6" s="39">
        <v>1.04E-2</v>
      </c>
      <c r="D6" s="39">
        <v>1.04E-2</v>
      </c>
    </row>
    <row r="7" spans="1:4" x14ac:dyDescent="0.2">
      <c r="A7" s="42" t="s">
        <v>109</v>
      </c>
      <c r="B7" s="38" t="s">
        <v>118</v>
      </c>
      <c r="C7" s="39">
        <v>1.0500000000000001E-2</v>
      </c>
      <c r="D7" s="39">
        <v>1.0500000000000001E-2</v>
      </c>
    </row>
    <row r="8" spans="1:4" x14ac:dyDescent="0.2">
      <c r="A8" s="42" t="s">
        <v>110</v>
      </c>
      <c r="B8" s="38" t="s">
        <v>119</v>
      </c>
      <c r="C8" s="39">
        <v>0.08</v>
      </c>
      <c r="D8" s="39">
        <v>0.08</v>
      </c>
    </row>
    <row r="9" spans="1:4" x14ac:dyDescent="0.2">
      <c r="A9" s="42" t="s">
        <v>111</v>
      </c>
      <c r="B9" s="38" t="s">
        <v>120</v>
      </c>
      <c r="C9" s="39">
        <v>3.6499999999999998E-2</v>
      </c>
      <c r="D9" s="39">
        <v>3.6499999999999998E-2</v>
      </c>
    </row>
    <row r="10" spans="1:4" x14ac:dyDescent="0.2">
      <c r="A10" s="42" t="s">
        <v>112</v>
      </c>
      <c r="B10" s="38" t="s">
        <v>121</v>
      </c>
      <c r="C10" s="39">
        <v>0.05</v>
      </c>
      <c r="D10" s="39">
        <v>0.05</v>
      </c>
    </row>
    <row r="11" spans="1:4" x14ac:dyDescent="0.2">
      <c r="A11" s="42" t="s">
        <v>113</v>
      </c>
      <c r="B11" s="38" t="s">
        <v>122</v>
      </c>
      <c r="C11" s="39">
        <v>0</v>
      </c>
      <c r="D11" s="39">
        <v>4.4999999999999998E-2</v>
      </c>
    </row>
    <row r="12" spans="1:4" ht="15" x14ac:dyDescent="0.2">
      <c r="A12" s="187" t="s">
        <v>207</v>
      </c>
      <c r="B12" s="188"/>
      <c r="C12" s="41">
        <f>(((1+$C$4+$C$5+$C$6)*(1+$C$7)*(1+$C$8))/(1-$C$9-$C$10))-1</f>
        <v>0.27340920197044327</v>
      </c>
      <c r="D12" s="41">
        <f>(((1+$D$4+$D$5+$D$6)*(1+$D$7)*(1+$D$8))/(1-$D$9-$D$10-$D$11))-1</f>
        <v>0.33348302590673562</v>
      </c>
    </row>
    <row r="13" spans="1:4" x14ac:dyDescent="0.2">
      <c r="A13" s="186" t="s">
        <v>123</v>
      </c>
      <c r="B13" s="186"/>
      <c r="C13" s="186"/>
      <c r="D13" s="186"/>
    </row>
    <row r="14" spans="1:4" x14ac:dyDescent="0.2">
      <c r="A14" s="186"/>
      <c r="B14" s="186"/>
      <c r="C14" s="186"/>
      <c r="D14" s="186"/>
    </row>
    <row r="15" spans="1:4" x14ac:dyDescent="0.2">
      <c r="A15" s="186" t="s">
        <v>188</v>
      </c>
      <c r="B15" s="186"/>
      <c r="C15" s="186"/>
      <c r="D15" s="186"/>
    </row>
    <row r="16" spans="1:4" x14ac:dyDescent="0.2">
      <c r="A16" s="186"/>
      <c r="B16" s="186"/>
      <c r="C16" s="186"/>
      <c r="D16" s="186"/>
    </row>
  </sheetData>
  <mergeCells count="6">
    <mergeCell ref="A2:A3"/>
    <mergeCell ref="B2:B3"/>
    <mergeCell ref="A1:D1"/>
    <mergeCell ref="A13:D14"/>
    <mergeCell ref="A15:D16"/>
    <mergeCell ref="A12:B1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4">
    <pageSetUpPr fitToPage="1"/>
  </sheetPr>
  <dimension ref="A1:P60"/>
  <sheetViews>
    <sheetView showGridLines="0" tabSelected="1" zoomScale="70" zoomScaleNormal="70" workbookViewId="0">
      <selection activeCell="G55" sqref="G55"/>
    </sheetView>
  </sheetViews>
  <sheetFormatPr defaultColWidth="8.85546875" defaultRowHeight="15" x14ac:dyDescent="0.2"/>
  <cols>
    <col min="1" max="1" width="11.28515625" style="12" customWidth="1"/>
    <col min="2" max="2" width="15.7109375" style="12" bestFit="1" customWidth="1"/>
    <col min="3" max="3" width="13" style="12" bestFit="1" customWidth="1"/>
    <col min="4" max="4" width="171.28515625" style="12" bestFit="1" customWidth="1"/>
    <col min="5" max="5" width="10.140625" style="12" bestFit="1" customWidth="1"/>
    <col min="6" max="6" width="13.85546875" style="12" bestFit="1" customWidth="1"/>
    <col min="7" max="7" width="16.42578125" style="12" bestFit="1" customWidth="1"/>
    <col min="8" max="8" width="19.7109375" style="12" customWidth="1"/>
    <col min="9" max="16384" width="8.85546875" style="4"/>
  </cols>
  <sheetData>
    <row r="1" spans="1:8" ht="15" customHeight="1" x14ac:dyDescent="0.2">
      <c r="A1" s="189"/>
      <c r="B1" s="189"/>
      <c r="C1" s="189"/>
      <c r="D1" s="190" t="s">
        <v>3</v>
      </c>
      <c r="E1" s="190" t="s">
        <v>200</v>
      </c>
      <c r="F1" s="190"/>
      <c r="G1" s="190"/>
      <c r="H1" s="190"/>
    </row>
    <row r="2" spans="1:8" ht="15" customHeight="1" x14ac:dyDescent="0.2">
      <c r="A2" s="189"/>
      <c r="B2" s="189"/>
      <c r="C2" s="189"/>
      <c r="D2" s="190"/>
      <c r="E2" s="190"/>
      <c r="F2" s="190"/>
      <c r="G2" s="190"/>
      <c r="H2" s="190"/>
    </row>
    <row r="3" spans="1:8" ht="15" customHeight="1" x14ac:dyDescent="0.2">
      <c r="A3" s="189"/>
      <c r="B3" s="189"/>
      <c r="C3" s="189"/>
      <c r="D3" s="190" t="s">
        <v>4</v>
      </c>
      <c r="E3" s="190"/>
      <c r="F3" s="190"/>
      <c r="G3" s="190"/>
      <c r="H3" s="190"/>
    </row>
    <row r="4" spans="1:8" ht="15" customHeight="1" x14ac:dyDescent="0.2">
      <c r="A4" s="189"/>
      <c r="B4" s="189"/>
      <c r="C4" s="189"/>
      <c r="D4" s="190"/>
      <c r="E4" s="190"/>
      <c r="F4" s="190"/>
      <c r="G4" s="190"/>
      <c r="H4" s="190"/>
    </row>
    <row r="5" spans="1:8" ht="15" customHeight="1" x14ac:dyDescent="0.2">
      <c r="A5" s="189"/>
      <c r="B5" s="189"/>
      <c r="C5" s="189"/>
      <c r="D5" s="190" t="s">
        <v>5</v>
      </c>
      <c r="E5" s="190"/>
      <c r="F5" s="190"/>
      <c r="G5" s="190"/>
      <c r="H5" s="190"/>
    </row>
    <row r="6" spans="1:8" ht="15" customHeight="1" x14ac:dyDescent="0.2">
      <c r="A6" s="189"/>
      <c r="B6" s="189"/>
      <c r="C6" s="189"/>
      <c r="D6" s="190"/>
      <c r="E6" s="190"/>
      <c r="F6" s="190"/>
      <c r="G6" s="190"/>
      <c r="H6" s="190"/>
    </row>
    <row r="7" spans="1:8" ht="15" customHeight="1" x14ac:dyDescent="0.2">
      <c r="A7" s="189"/>
      <c r="B7" s="189"/>
      <c r="C7" s="189"/>
      <c r="D7" s="19" t="s">
        <v>6</v>
      </c>
      <c r="E7" s="190"/>
      <c r="F7" s="190"/>
      <c r="G7" s="190"/>
      <c r="H7" s="190"/>
    </row>
    <row r="8" spans="1:8" ht="15" customHeight="1" x14ac:dyDescent="0.2">
      <c r="A8" s="9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 t="s">
        <v>12</v>
      </c>
      <c r="G8" s="9" t="s">
        <v>73</v>
      </c>
      <c r="H8" s="9" t="s">
        <v>64</v>
      </c>
    </row>
    <row r="9" spans="1:8" ht="15" customHeight="1" x14ac:dyDescent="0.25">
      <c r="A9" s="191" t="s">
        <v>13</v>
      </c>
      <c r="B9" s="192"/>
      <c r="C9" s="192"/>
      <c r="D9" s="192"/>
      <c r="E9" s="192"/>
      <c r="F9" s="192"/>
      <c r="G9" s="192"/>
      <c r="H9" s="193"/>
    </row>
    <row r="10" spans="1:8" ht="15" customHeight="1" x14ac:dyDescent="0.2">
      <c r="A10" s="9">
        <v>1</v>
      </c>
      <c r="B10" s="6" t="s">
        <v>210</v>
      </c>
      <c r="C10" s="7" t="s">
        <v>212</v>
      </c>
      <c r="D10" s="5" t="s">
        <v>15</v>
      </c>
      <c r="E10" s="6" t="s">
        <v>16</v>
      </c>
      <c r="F10" s="6">
        <f>'Memória de Cálculo'!F10</f>
        <v>8</v>
      </c>
      <c r="G10" s="18">
        <v>405.49</v>
      </c>
      <c r="H10" s="18">
        <f>F10*G10</f>
        <v>3243.92</v>
      </c>
    </row>
    <row r="11" spans="1:8" ht="15" customHeight="1" x14ac:dyDescent="0.2">
      <c r="A11" s="194" t="s">
        <v>75</v>
      </c>
      <c r="B11" s="195"/>
      <c r="C11" s="195"/>
      <c r="D11" s="195"/>
      <c r="E11" s="195"/>
      <c r="F11" s="195"/>
      <c r="G11" s="196"/>
      <c r="H11" s="24">
        <f>SUM(H10:H10)</f>
        <v>3243.92</v>
      </c>
    </row>
    <row r="12" spans="1:8" ht="15" customHeight="1" x14ac:dyDescent="0.2">
      <c r="A12" s="140" t="s">
        <v>79</v>
      </c>
      <c r="B12" s="141"/>
      <c r="C12" s="141"/>
      <c r="D12" s="141"/>
      <c r="E12" s="141"/>
      <c r="F12" s="141"/>
      <c r="G12" s="141"/>
      <c r="H12" s="142"/>
    </row>
    <row r="13" spans="1:8" ht="15.75" x14ac:dyDescent="0.2">
      <c r="A13" s="9">
        <v>1</v>
      </c>
      <c r="B13" s="6" t="s">
        <v>210</v>
      </c>
      <c r="C13" s="7" t="s">
        <v>211</v>
      </c>
      <c r="D13" s="5" t="s">
        <v>28</v>
      </c>
      <c r="E13" s="6" t="s">
        <v>16</v>
      </c>
      <c r="F13" s="13">
        <f>'Memória de Cálculo'!F14</f>
        <v>19.125</v>
      </c>
      <c r="G13" s="25">
        <v>84.19</v>
      </c>
      <c r="H13" s="18">
        <f t="shared" ref="H13:H16" si="0">F13*G13</f>
        <v>1610.13375</v>
      </c>
    </row>
    <row r="14" spans="1:8" ht="15.75" x14ac:dyDescent="0.2">
      <c r="A14" s="9">
        <v>2</v>
      </c>
      <c r="B14" s="6" t="s">
        <v>210</v>
      </c>
      <c r="C14" s="7" t="s">
        <v>213</v>
      </c>
      <c r="D14" s="5" t="s">
        <v>102</v>
      </c>
      <c r="E14" s="6" t="s">
        <v>18</v>
      </c>
      <c r="F14" s="13">
        <f>'Memória de Cálculo'!F17</f>
        <v>6.5975000000000001</v>
      </c>
      <c r="G14" s="25">
        <v>245.5</v>
      </c>
      <c r="H14" s="18">
        <f t="shared" si="0"/>
        <v>1619.68625</v>
      </c>
    </row>
    <row r="15" spans="1:8" ht="15.75" x14ac:dyDescent="0.2">
      <c r="A15" s="9">
        <v>3</v>
      </c>
      <c r="B15" s="6" t="s">
        <v>227</v>
      </c>
      <c r="C15" s="7" t="s">
        <v>29</v>
      </c>
      <c r="D15" s="5" t="s">
        <v>30</v>
      </c>
      <c r="E15" s="6" t="s">
        <v>25</v>
      </c>
      <c r="F15" s="13">
        <f>'Memória de Cálculo'!F20</f>
        <v>97.79</v>
      </c>
      <c r="G15" s="18">
        <v>12.22</v>
      </c>
      <c r="H15" s="18">
        <f t="shared" si="0"/>
        <v>1194.9938000000002</v>
      </c>
    </row>
    <row r="16" spans="1:8" ht="15.75" x14ac:dyDescent="0.2">
      <c r="A16" s="9">
        <v>4</v>
      </c>
      <c r="B16" s="6" t="s">
        <v>210</v>
      </c>
      <c r="C16" s="7" t="s">
        <v>214</v>
      </c>
      <c r="D16" s="5" t="s">
        <v>62</v>
      </c>
      <c r="E16" s="6" t="s">
        <v>18</v>
      </c>
      <c r="F16" s="13">
        <f>'Memória de Cálculo'!F23</f>
        <v>19.792499999999997</v>
      </c>
      <c r="G16" s="18">
        <v>631.91999999999996</v>
      </c>
      <c r="H16" s="18">
        <f t="shared" si="0"/>
        <v>12507.276599999997</v>
      </c>
    </row>
    <row r="17" spans="1:8" ht="15.75" x14ac:dyDescent="0.2">
      <c r="A17" s="194" t="s">
        <v>80</v>
      </c>
      <c r="B17" s="195"/>
      <c r="C17" s="195"/>
      <c r="D17" s="195"/>
      <c r="E17" s="195"/>
      <c r="F17" s="195"/>
      <c r="G17" s="196"/>
      <c r="H17" s="24">
        <f>SUM(H13:H16)</f>
        <v>16932.090399999997</v>
      </c>
    </row>
    <row r="18" spans="1:8" ht="15.75" x14ac:dyDescent="0.2">
      <c r="A18" s="140" t="s">
        <v>53</v>
      </c>
      <c r="B18" s="141"/>
      <c r="C18" s="141"/>
      <c r="D18" s="141"/>
      <c r="E18" s="141"/>
      <c r="F18" s="141"/>
      <c r="G18" s="141"/>
      <c r="H18" s="142"/>
    </row>
    <row r="19" spans="1:8" ht="15.75" x14ac:dyDescent="0.2">
      <c r="A19" s="9">
        <v>1</v>
      </c>
      <c r="B19" s="6" t="s">
        <v>210</v>
      </c>
      <c r="C19" s="7" t="s">
        <v>215</v>
      </c>
      <c r="D19" s="10" t="s">
        <v>72</v>
      </c>
      <c r="E19" s="6" t="s">
        <v>18</v>
      </c>
      <c r="F19" s="13">
        <f>'Memória de Cálculo'!F27</f>
        <v>8.8199999999999985</v>
      </c>
      <c r="G19" s="18">
        <v>59.54</v>
      </c>
      <c r="H19" s="18">
        <f>F19*G19</f>
        <v>525.14279999999985</v>
      </c>
    </row>
    <row r="20" spans="1:8" ht="15.75" x14ac:dyDescent="0.2">
      <c r="A20" s="9">
        <v>2</v>
      </c>
      <c r="B20" s="6" t="s">
        <v>210</v>
      </c>
      <c r="C20" s="7" t="s">
        <v>211</v>
      </c>
      <c r="D20" s="5" t="s">
        <v>28</v>
      </c>
      <c r="E20" s="6" t="s">
        <v>16</v>
      </c>
      <c r="F20" s="13">
        <f>'Memória de Cálculo'!F30</f>
        <v>9.2399999999999984</v>
      </c>
      <c r="G20" s="18">
        <v>84.19</v>
      </c>
      <c r="H20" s="18">
        <f t="shared" ref="H20:H23" si="1">F20*G20</f>
        <v>777.91559999999981</v>
      </c>
    </row>
    <row r="21" spans="1:8" ht="15.75" x14ac:dyDescent="0.2">
      <c r="A21" s="9">
        <v>3</v>
      </c>
      <c r="B21" s="6" t="s">
        <v>210</v>
      </c>
      <c r="C21" s="7" t="s">
        <v>214</v>
      </c>
      <c r="D21" s="5" t="s">
        <v>32</v>
      </c>
      <c r="E21" s="6" t="s">
        <v>18</v>
      </c>
      <c r="F21" s="13">
        <f>'Memória de Cálculo'!F33</f>
        <v>1.1759999999999999</v>
      </c>
      <c r="G21" s="18">
        <v>631.91999999999996</v>
      </c>
      <c r="H21" s="18">
        <f t="shared" si="1"/>
        <v>743.13791999999989</v>
      </c>
    </row>
    <row r="22" spans="1:8" ht="15.75" x14ac:dyDescent="0.2">
      <c r="A22" s="9">
        <v>4</v>
      </c>
      <c r="B22" s="6" t="s">
        <v>210</v>
      </c>
      <c r="C22" s="7" t="s">
        <v>216</v>
      </c>
      <c r="D22" s="5" t="s">
        <v>23</v>
      </c>
      <c r="E22" s="6" t="s">
        <v>16</v>
      </c>
      <c r="F22" s="6">
        <f>'Memória de Cálculo'!F36</f>
        <v>16.799999999999997</v>
      </c>
      <c r="G22" s="18">
        <v>100.1</v>
      </c>
      <c r="H22" s="18">
        <f t="shared" si="1"/>
        <v>1681.6799999999996</v>
      </c>
    </row>
    <row r="23" spans="1:8" ht="15.75" x14ac:dyDescent="0.2">
      <c r="A23" s="9">
        <v>5</v>
      </c>
      <c r="B23" s="6" t="s">
        <v>210</v>
      </c>
      <c r="C23" s="7" t="s">
        <v>217</v>
      </c>
      <c r="D23" s="5" t="s">
        <v>218</v>
      </c>
      <c r="E23" s="6" t="s">
        <v>16</v>
      </c>
      <c r="F23" s="13">
        <f>'Memória de Cálculo'!F39</f>
        <v>16.549800000000001</v>
      </c>
      <c r="G23" s="18">
        <v>50.28</v>
      </c>
      <c r="H23" s="18">
        <f t="shared" si="1"/>
        <v>832.12394400000005</v>
      </c>
    </row>
    <row r="24" spans="1:8" ht="15.75" x14ac:dyDescent="0.2">
      <c r="A24" s="194" t="s">
        <v>76</v>
      </c>
      <c r="B24" s="195"/>
      <c r="C24" s="195"/>
      <c r="D24" s="195"/>
      <c r="E24" s="195"/>
      <c r="F24" s="195"/>
      <c r="G24" s="196"/>
      <c r="H24" s="24">
        <f>SUM(H19:H23)</f>
        <v>4560.0002639999993</v>
      </c>
    </row>
    <row r="25" spans="1:8" ht="15.75" x14ac:dyDescent="0.2">
      <c r="A25" s="140" t="s">
        <v>2</v>
      </c>
      <c r="B25" s="141"/>
      <c r="C25" s="141"/>
      <c r="D25" s="141"/>
      <c r="E25" s="141"/>
      <c r="F25" s="141"/>
      <c r="G25" s="141"/>
      <c r="H25" s="142"/>
    </row>
    <row r="26" spans="1:8" ht="15.75" x14ac:dyDescent="0.2">
      <c r="A26" s="9">
        <v>1</v>
      </c>
      <c r="B26" s="6" t="s">
        <v>210</v>
      </c>
      <c r="C26" s="7" t="s">
        <v>216</v>
      </c>
      <c r="D26" s="5" t="s">
        <v>33</v>
      </c>
      <c r="E26" s="6" t="s">
        <v>16</v>
      </c>
      <c r="F26" s="13">
        <f>'Memória de Cálculo'!F43</f>
        <v>677.95200000000011</v>
      </c>
      <c r="G26" s="18">
        <v>100.1</v>
      </c>
      <c r="H26" s="18">
        <f>F26*G26</f>
        <v>67862.995200000005</v>
      </c>
    </row>
    <row r="27" spans="1:8" ht="15.75" x14ac:dyDescent="0.2">
      <c r="A27" s="9">
        <v>2</v>
      </c>
      <c r="B27" s="6" t="s">
        <v>210</v>
      </c>
      <c r="C27" s="7" t="s">
        <v>219</v>
      </c>
      <c r="D27" s="5" t="s">
        <v>26</v>
      </c>
      <c r="E27" s="6" t="s">
        <v>25</v>
      </c>
      <c r="F27" s="13">
        <f>'Memória de Cálculo'!F46</f>
        <v>172.48000000000002</v>
      </c>
      <c r="G27" s="18">
        <v>9.9499999999999993</v>
      </c>
      <c r="H27" s="18">
        <f t="shared" ref="H27:H36" si="2">F27*G27</f>
        <v>1716.1760000000002</v>
      </c>
    </row>
    <row r="28" spans="1:8" ht="15.75" x14ac:dyDescent="0.2">
      <c r="A28" s="9">
        <v>3</v>
      </c>
      <c r="B28" s="6" t="s">
        <v>210</v>
      </c>
      <c r="C28" s="7" t="s">
        <v>214</v>
      </c>
      <c r="D28" s="5" t="s">
        <v>32</v>
      </c>
      <c r="E28" s="6" t="s">
        <v>18</v>
      </c>
      <c r="F28" s="13">
        <f>'Memória de Cálculo'!F49</f>
        <v>0.20900000000000005</v>
      </c>
      <c r="G28" s="18">
        <v>631.91999999999996</v>
      </c>
      <c r="H28" s="18">
        <f t="shared" si="2"/>
        <v>132.07128000000003</v>
      </c>
    </row>
    <row r="29" spans="1:8" ht="15.75" x14ac:dyDescent="0.2">
      <c r="A29" s="9">
        <v>4</v>
      </c>
      <c r="B29" s="6" t="s">
        <v>210</v>
      </c>
      <c r="C29" s="7" t="s">
        <v>211</v>
      </c>
      <c r="D29" s="5" t="s">
        <v>28</v>
      </c>
      <c r="E29" s="6" t="s">
        <v>16</v>
      </c>
      <c r="F29" s="13">
        <f>'Memória de Cálculo'!F52</f>
        <v>76.319999999999993</v>
      </c>
      <c r="G29" s="18">
        <v>84.19</v>
      </c>
      <c r="H29" s="18">
        <f t="shared" si="2"/>
        <v>6425.380799999999</v>
      </c>
    </row>
    <row r="30" spans="1:8" ht="15.75" x14ac:dyDescent="0.2">
      <c r="A30" s="9">
        <v>5</v>
      </c>
      <c r="B30" s="6" t="s">
        <v>227</v>
      </c>
      <c r="C30" s="7" t="s">
        <v>34</v>
      </c>
      <c r="D30" s="5" t="s">
        <v>35</v>
      </c>
      <c r="E30" s="6" t="s">
        <v>16</v>
      </c>
      <c r="F30" s="13">
        <f>'Memória de Cálculo'!F55</f>
        <v>523.22400000000005</v>
      </c>
      <c r="G30" s="18">
        <v>186.29</v>
      </c>
      <c r="H30" s="18">
        <f t="shared" si="2"/>
        <v>97471.398960000006</v>
      </c>
    </row>
    <row r="31" spans="1:8" ht="15.75" x14ac:dyDescent="0.2">
      <c r="A31" s="9">
        <v>6</v>
      </c>
      <c r="B31" s="6" t="s">
        <v>210</v>
      </c>
      <c r="C31" s="7" t="s">
        <v>220</v>
      </c>
      <c r="D31" s="5" t="s">
        <v>37</v>
      </c>
      <c r="E31" s="6" t="s">
        <v>25</v>
      </c>
      <c r="F31" s="13">
        <f>'Memória de Cálculo'!F58</f>
        <v>38.5</v>
      </c>
      <c r="G31" s="18">
        <v>10.35</v>
      </c>
      <c r="H31" s="18">
        <f t="shared" si="2"/>
        <v>398.47499999999997</v>
      </c>
    </row>
    <row r="32" spans="1:8" ht="15.75" x14ac:dyDescent="0.2">
      <c r="A32" s="9">
        <v>7</v>
      </c>
      <c r="B32" s="6" t="s">
        <v>210</v>
      </c>
      <c r="C32" s="7" t="s">
        <v>214</v>
      </c>
      <c r="D32" s="5" t="s">
        <v>32</v>
      </c>
      <c r="E32" s="6" t="s">
        <v>18</v>
      </c>
      <c r="F32" s="13">
        <f>'Memória de Cálculo'!F61</f>
        <v>20.928960000000004</v>
      </c>
      <c r="G32" s="18">
        <v>631.91999999999996</v>
      </c>
      <c r="H32" s="18">
        <f t="shared" si="2"/>
        <v>13225.428403200001</v>
      </c>
    </row>
    <row r="33" spans="1:9" ht="15.75" x14ac:dyDescent="0.2">
      <c r="A33" s="9">
        <v>8</v>
      </c>
      <c r="B33" s="6" t="s">
        <v>210</v>
      </c>
      <c r="C33" s="7" t="s">
        <v>221</v>
      </c>
      <c r="D33" s="5" t="s">
        <v>45</v>
      </c>
      <c r="E33" s="6" t="s">
        <v>16</v>
      </c>
      <c r="F33" s="13">
        <f>'Memória de Cálculo'!F64</f>
        <v>679.19999999999993</v>
      </c>
      <c r="G33" s="18">
        <v>64.03</v>
      </c>
      <c r="H33" s="18">
        <f>F33*G33</f>
        <v>43489.175999999999</v>
      </c>
    </row>
    <row r="34" spans="1:9" ht="15.75" x14ac:dyDescent="0.2">
      <c r="A34" s="9">
        <v>9</v>
      </c>
      <c r="B34" s="6" t="s">
        <v>210</v>
      </c>
      <c r="C34" s="7" t="s">
        <v>222</v>
      </c>
      <c r="D34" s="5" t="s">
        <v>42</v>
      </c>
      <c r="E34" s="6" t="s">
        <v>20</v>
      </c>
      <c r="F34" s="6">
        <f>'Memória de Cálculo'!F67</f>
        <v>220.7</v>
      </c>
      <c r="G34" s="18">
        <v>49.26</v>
      </c>
      <c r="H34" s="18">
        <f t="shared" si="2"/>
        <v>10871.681999999999</v>
      </c>
    </row>
    <row r="35" spans="1:9" ht="15.75" x14ac:dyDescent="0.2">
      <c r="A35" s="9">
        <v>10</v>
      </c>
      <c r="B35" s="6" t="s">
        <v>227</v>
      </c>
      <c r="C35" s="7" t="s">
        <v>40</v>
      </c>
      <c r="D35" s="5" t="s">
        <v>43</v>
      </c>
      <c r="E35" s="6" t="s">
        <v>11</v>
      </c>
      <c r="F35" s="6">
        <f>'Memória de Cálculo'!F70</f>
        <v>200</v>
      </c>
      <c r="G35" s="18">
        <v>19.48</v>
      </c>
      <c r="H35" s="18">
        <f t="shared" si="2"/>
        <v>3896</v>
      </c>
    </row>
    <row r="36" spans="1:9" ht="15.75" x14ac:dyDescent="0.2">
      <c r="A36" s="9">
        <v>11</v>
      </c>
      <c r="B36" s="6" t="s">
        <v>227</v>
      </c>
      <c r="C36" s="7" t="s">
        <v>41</v>
      </c>
      <c r="D36" s="5" t="s">
        <v>44</v>
      </c>
      <c r="E36" s="6" t="s">
        <v>11</v>
      </c>
      <c r="F36" s="6">
        <f>'Memória de Cálculo'!F73</f>
        <v>250</v>
      </c>
      <c r="G36" s="18">
        <v>18.489999999999998</v>
      </c>
      <c r="H36" s="18">
        <f t="shared" si="2"/>
        <v>4622.5</v>
      </c>
    </row>
    <row r="37" spans="1:9" ht="15.75" x14ac:dyDescent="0.2">
      <c r="A37" s="194" t="s">
        <v>77</v>
      </c>
      <c r="B37" s="195"/>
      <c r="C37" s="195"/>
      <c r="D37" s="195"/>
      <c r="E37" s="195"/>
      <c r="F37" s="195"/>
      <c r="G37" s="196"/>
      <c r="H37" s="24">
        <f>SUM(H26:H36)</f>
        <v>250111.28364320003</v>
      </c>
    </row>
    <row r="38" spans="1:9" ht="15.75" x14ac:dyDescent="0.25">
      <c r="A38" s="191" t="s">
        <v>38</v>
      </c>
      <c r="B38" s="192"/>
      <c r="C38" s="192"/>
      <c r="D38" s="192"/>
      <c r="E38" s="192"/>
      <c r="F38" s="192"/>
      <c r="G38" s="192"/>
      <c r="H38" s="193"/>
    </row>
    <row r="39" spans="1:9" ht="15.75" x14ac:dyDescent="0.2">
      <c r="A39" s="9">
        <v>1</v>
      </c>
      <c r="B39" s="6" t="s">
        <v>210</v>
      </c>
      <c r="C39" s="7" t="s">
        <v>223</v>
      </c>
      <c r="D39" s="5" t="s">
        <v>83</v>
      </c>
      <c r="E39" s="6" t="s">
        <v>16</v>
      </c>
      <c r="F39" s="13">
        <f>'Memória de Cálculo'!F77</f>
        <v>261.024</v>
      </c>
      <c r="G39" s="18">
        <v>17.82</v>
      </c>
      <c r="H39" s="18">
        <f>F39*G39</f>
        <v>4651.4476800000002</v>
      </c>
    </row>
    <row r="40" spans="1:9" ht="15.75" x14ac:dyDescent="0.2">
      <c r="A40" s="9">
        <v>2</v>
      </c>
      <c r="B40" s="6" t="s">
        <v>210</v>
      </c>
      <c r="C40" s="7" t="s">
        <v>224</v>
      </c>
      <c r="D40" s="5" t="s">
        <v>50</v>
      </c>
      <c r="E40" s="6" t="s">
        <v>16</v>
      </c>
      <c r="F40" s="6">
        <f>'Memória de Cálculo'!F80</f>
        <v>261.024</v>
      </c>
      <c r="G40" s="18">
        <v>51.15</v>
      </c>
      <c r="H40" s="18">
        <f t="shared" ref="H40:H42" si="3">F40*G40</f>
        <v>13351.3776</v>
      </c>
    </row>
    <row r="41" spans="1:9" ht="15.75" x14ac:dyDescent="0.2">
      <c r="A41" s="9">
        <v>3</v>
      </c>
      <c r="B41" s="6" t="s">
        <v>210</v>
      </c>
      <c r="C41" s="7" t="s">
        <v>225</v>
      </c>
      <c r="D41" s="5" t="s">
        <v>51</v>
      </c>
      <c r="E41" s="6" t="s">
        <v>16</v>
      </c>
      <c r="F41" s="6">
        <f>'Memória de Cálculo'!F83</f>
        <v>261.024</v>
      </c>
      <c r="G41" s="18">
        <v>18.010000000000002</v>
      </c>
      <c r="H41" s="18">
        <f t="shared" si="3"/>
        <v>4701.0422400000007</v>
      </c>
    </row>
    <row r="42" spans="1:9" ht="15.75" x14ac:dyDescent="0.2">
      <c r="A42" s="9">
        <v>4</v>
      </c>
      <c r="B42" s="6" t="s">
        <v>210</v>
      </c>
      <c r="C42" s="7" t="s">
        <v>226</v>
      </c>
      <c r="D42" s="5" t="s">
        <v>52</v>
      </c>
      <c r="E42" s="6" t="s">
        <v>16</v>
      </c>
      <c r="F42" s="13">
        <v>380</v>
      </c>
      <c r="G42" s="18">
        <v>14.29</v>
      </c>
      <c r="H42" s="18">
        <f t="shared" si="3"/>
        <v>5430.2</v>
      </c>
    </row>
    <row r="43" spans="1:9" ht="15.75" x14ac:dyDescent="0.2">
      <c r="A43" s="197" t="s">
        <v>78</v>
      </c>
      <c r="B43" s="197"/>
      <c r="C43" s="197"/>
      <c r="D43" s="197"/>
      <c r="E43" s="197"/>
      <c r="F43" s="197"/>
      <c r="G43" s="197"/>
      <c r="H43" s="24">
        <f>SUM(H39:H42)</f>
        <v>28134.067520000001</v>
      </c>
    </row>
    <row r="44" spans="1:9" ht="15.6" customHeight="1" x14ac:dyDescent="0.2">
      <c r="A44" s="180" t="s">
        <v>208</v>
      </c>
      <c r="B44" s="180"/>
      <c r="C44" s="180"/>
      <c r="D44" s="180"/>
      <c r="E44" s="180"/>
      <c r="F44" s="197" t="s">
        <v>74</v>
      </c>
      <c r="G44" s="197"/>
      <c r="H44" s="24">
        <f>H11+H17+H24+H37+H43</f>
        <v>302981.36182719999</v>
      </c>
      <c r="I44" s="21"/>
    </row>
    <row r="45" spans="1:9" ht="15.75" x14ac:dyDescent="0.2">
      <c r="A45" s="181"/>
      <c r="B45" s="181"/>
      <c r="C45" s="181"/>
      <c r="D45" s="181"/>
      <c r="E45" s="181"/>
      <c r="F45" s="197" t="s">
        <v>65</v>
      </c>
      <c r="G45" s="197"/>
      <c r="H45" s="23">
        <f>BDI!D12</f>
        <v>0.33348302590673562</v>
      </c>
      <c r="I45" s="22"/>
    </row>
    <row r="46" spans="1:9" ht="15.75" x14ac:dyDescent="0.2">
      <c r="A46" s="181"/>
      <c r="B46" s="181"/>
      <c r="C46" s="181"/>
      <c r="D46" s="181"/>
      <c r="E46" s="181"/>
      <c r="F46" s="197" t="s">
        <v>66</v>
      </c>
      <c r="G46" s="197"/>
      <c r="H46" s="24">
        <f>H44*(1+H45)</f>
        <v>404020.50316267816</v>
      </c>
      <c r="I46" s="21"/>
    </row>
    <row r="47" spans="1:9" x14ac:dyDescent="0.2">
      <c r="A47" s="181"/>
      <c r="B47" s="181"/>
      <c r="C47" s="181"/>
      <c r="D47" s="181"/>
      <c r="E47" s="181"/>
    </row>
    <row r="48" spans="1:9" x14ac:dyDescent="0.2">
      <c r="A48" s="181"/>
      <c r="B48" s="181"/>
      <c r="C48" s="181"/>
      <c r="D48" s="181"/>
      <c r="E48" s="181"/>
    </row>
    <row r="49" spans="1:16" x14ac:dyDescent="0.2">
      <c r="A49" s="181"/>
      <c r="B49" s="181"/>
      <c r="C49" s="181"/>
      <c r="D49" s="181"/>
      <c r="E49" s="181"/>
    </row>
    <row r="50" spans="1:16" x14ac:dyDescent="0.2">
      <c r="A50" s="181"/>
      <c r="B50" s="181"/>
      <c r="C50" s="181"/>
      <c r="D50" s="181"/>
      <c r="E50" s="181"/>
    </row>
    <row r="51" spans="1:16" x14ac:dyDescent="0.2">
      <c r="A51" s="181"/>
      <c r="B51" s="181"/>
      <c r="C51" s="181"/>
      <c r="D51" s="181"/>
      <c r="E51" s="181"/>
    </row>
    <row r="52" spans="1:16" ht="15" customHeight="1" x14ac:dyDescent="0.25">
      <c r="A52" s="84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</row>
    <row r="53" spans="1:16" ht="15.75" x14ac:dyDescent="0.25">
      <c r="A53" s="84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</row>
    <row r="54" spans="1:16" ht="15.75" x14ac:dyDescent="0.25">
      <c r="A54" s="84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</row>
    <row r="55" spans="1:16" ht="15.75" x14ac:dyDescent="0.25">
      <c r="A55" s="84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</row>
    <row r="56" spans="1:16" ht="15.75" x14ac:dyDescent="0.25">
      <c r="A56" s="84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</row>
    <row r="57" spans="1:16" ht="15.75" x14ac:dyDescent="0.25">
      <c r="A57" s="84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</row>
    <row r="58" spans="1:16" ht="15.75" x14ac:dyDescent="0.25">
      <c r="A58" s="84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</row>
    <row r="59" spans="1:16" ht="15.75" x14ac:dyDescent="0.25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</row>
    <row r="60" spans="1:16" ht="15.75" x14ac:dyDescent="0.25">
      <c r="A60" s="84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</row>
  </sheetData>
  <mergeCells count="19">
    <mergeCell ref="A38:H38"/>
    <mergeCell ref="A24:G24"/>
    <mergeCell ref="A37:G37"/>
    <mergeCell ref="A44:E51"/>
    <mergeCell ref="A9:H9"/>
    <mergeCell ref="A43:G43"/>
    <mergeCell ref="A17:G17"/>
    <mergeCell ref="F46:G46"/>
    <mergeCell ref="A11:G11"/>
    <mergeCell ref="F44:G44"/>
    <mergeCell ref="F45:G45"/>
    <mergeCell ref="A12:H12"/>
    <mergeCell ref="A18:H18"/>
    <mergeCell ref="A25:H25"/>
    <mergeCell ref="A1:C7"/>
    <mergeCell ref="D1:D2"/>
    <mergeCell ref="E1:H7"/>
    <mergeCell ref="D3:D4"/>
    <mergeCell ref="D5:D6"/>
  </mergeCells>
  <phoneticPr fontId="7" type="noConversion"/>
  <pageMargins left="0.511811024" right="0.511811024" top="0.78740157499999996" bottom="0.78740157499999996" header="0.31496062000000002" footer="0.31496062000000002"/>
  <pageSetup paperSize="9" scale="51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ilha5">
    <pageSetUpPr fitToPage="1"/>
  </sheetPr>
  <dimension ref="A1:R103"/>
  <sheetViews>
    <sheetView showGridLines="0" zoomScale="70" zoomScaleNormal="70" workbookViewId="0">
      <selection activeCell="A43" sqref="A43:G43"/>
    </sheetView>
  </sheetViews>
  <sheetFormatPr defaultRowHeight="15" x14ac:dyDescent="0.25"/>
  <cols>
    <col min="1" max="1" width="11.28515625" customWidth="1"/>
    <col min="2" max="2" width="15.7109375" style="11" bestFit="1" customWidth="1"/>
    <col min="3" max="3" width="13" bestFit="1" customWidth="1"/>
    <col min="4" max="4" width="171.28515625" bestFit="1" customWidth="1"/>
    <col min="5" max="5" width="10.140625" bestFit="1" customWidth="1"/>
    <col min="6" max="6" width="13.85546875" bestFit="1" customWidth="1"/>
    <col min="7" max="7" width="13.140625" bestFit="1" customWidth="1"/>
    <col min="8" max="8" width="19.7109375" bestFit="1" customWidth="1"/>
  </cols>
  <sheetData>
    <row r="1" spans="1:8" ht="15" customHeight="1" x14ac:dyDescent="0.25">
      <c r="A1" s="189"/>
      <c r="B1" s="189"/>
      <c r="C1" s="189"/>
      <c r="D1" s="190" t="s">
        <v>3</v>
      </c>
      <c r="E1" s="190" t="s">
        <v>201</v>
      </c>
      <c r="F1" s="190"/>
      <c r="G1" s="190"/>
      <c r="H1" s="190"/>
    </row>
    <row r="2" spans="1:8" ht="15" customHeight="1" x14ac:dyDescent="0.25">
      <c r="A2" s="189"/>
      <c r="B2" s="189"/>
      <c r="C2" s="189"/>
      <c r="D2" s="190"/>
      <c r="E2" s="190"/>
      <c r="F2" s="190"/>
      <c r="G2" s="190"/>
      <c r="H2" s="190"/>
    </row>
    <row r="3" spans="1:8" ht="15" customHeight="1" x14ac:dyDescent="0.25">
      <c r="A3" s="189"/>
      <c r="B3" s="189"/>
      <c r="C3" s="189"/>
      <c r="D3" s="190" t="s">
        <v>4</v>
      </c>
      <c r="E3" s="190"/>
      <c r="F3" s="190"/>
      <c r="G3" s="190"/>
      <c r="H3" s="190"/>
    </row>
    <row r="4" spans="1:8" ht="15" customHeight="1" x14ac:dyDescent="0.25">
      <c r="A4" s="189"/>
      <c r="B4" s="189"/>
      <c r="C4" s="189"/>
      <c r="D4" s="190"/>
      <c r="E4" s="190"/>
      <c r="F4" s="190"/>
      <c r="G4" s="190"/>
      <c r="H4" s="190"/>
    </row>
    <row r="5" spans="1:8" ht="15" customHeight="1" x14ac:dyDescent="0.25">
      <c r="A5" s="189"/>
      <c r="B5" s="189"/>
      <c r="C5" s="189"/>
      <c r="D5" s="190" t="s">
        <v>5</v>
      </c>
      <c r="E5" s="190"/>
      <c r="F5" s="190"/>
      <c r="G5" s="190"/>
      <c r="H5" s="190"/>
    </row>
    <row r="6" spans="1:8" ht="15" customHeight="1" x14ac:dyDescent="0.25">
      <c r="A6" s="189"/>
      <c r="B6" s="189"/>
      <c r="C6" s="189"/>
      <c r="D6" s="190"/>
      <c r="E6" s="190"/>
      <c r="F6" s="190"/>
      <c r="G6" s="190"/>
      <c r="H6" s="190"/>
    </row>
    <row r="7" spans="1:8" ht="15" customHeight="1" x14ac:dyDescent="0.25">
      <c r="A7" s="189"/>
      <c r="B7" s="189"/>
      <c r="C7" s="189"/>
      <c r="D7" s="19" t="s">
        <v>6</v>
      </c>
      <c r="E7" s="190"/>
      <c r="F7" s="190"/>
      <c r="G7" s="190"/>
      <c r="H7" s="190"/>
    </row>
    <row r="8" spans="1:8" ht="15" customHeight="1" x14ac:dyDescent="0.25">
      <c r="A8" s="9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 t="s">
        <v>12</v>
      </c>
      <c r="G8" s="9" t="s">
        <v>73</v>
      </c>
      <c r="H8" s="9" t="s">
        <v>64</v>
      </c>
    </row>
    <row r="9" spans="1:8" ht="15" customHeight="1" x14ac:dyDescent="0.25">
      <c r="A9" s="191" t="s">
        <v>13</v>
      </c>
      <c r="B9" s="192"/>
      <c r="C9" s="192"/>
      <c r="D9" s="192"/>
      <c r="E9" s="192"/>
      <c r="F9" s="192"/>
      <c r="G9" s="192"/>
      <c r="H9" s="193"/>
    </row>
    <row r="10" spans="1:8" ht="15" customHeight="1" x14ac:dyDescent="0.25">
      <c r="A10" s="9">
        <v>1</v>
      </c>
      <c r="B10" s="6" t="s">
        <v>210</v>
      </c>
      <c r="C10" s="7" t="s">
        <v>212</v>
      </c>
      <c r="D10" s="5" t="s">
        <v>15</v>
      </c>
      <c r="E10" s="6" t="s">
        <v>16</v>
      </c>
      <c r="F10" s="6">
        <f>'Memória de Cálculo'!F10</f>
        <v>8</v>
      </c>
      <c r="G10" s="18">
        <v>409.8</v>
      </c>
      <c r="H10" s="18">
        <f>F10*G10</f>
        <v>3278.4</v>
      </c>
    </row>
    <row r="11" spans="1:8" ht="15" customHeight="1" x14ac:dyDescent="0.25">
      <c r="A11" s="194" t="s">
        <v>75</v>
      </c>
      <c r="B11" s="195"/>
      <c r="C11" s="195"/>
      <c r="D11" s="195"/>
      <c r="E11" s="195"/>
      <c r="F11" s="195"/>
      <c r="G11" s="196"/>
      <c r="H11" s="24">
        <f>SUM(H10:H10)</f>
        <v>3278.4</v>
      </c>
    </row>
    <row r="12" spans="1:8" ht="15" customHeight="1" x14ac:dyDescent="0.25">
      <c r="A12" s="140" t="s">
        <v>79</v>
      </c>
      <c r="B12" s="141"/>
      <c r="C12" s="141"/>
      <c r="D12" s="141"/>
      <c r="E12" s="141"/>
      <c r="F12" s="141"/>
      <c r="G12" s="141"/>
      <c r="H12" s="142"/>
    </row>
    <row r="13" spans="1:8" ht="15" customHeight="1" x14ac:dyDescent="0.25">
      <c r="A13" s="9">
        <v>1</v>
      </c>
      <c r="B13" s="6" t="s">
        <v>210</v>
      </c>
      <c r="C13" s="7" t="s">
        <v>211</v>
      </c>
      <c r="D13" s="5" t="s">
        <v>28</v>
      </c>
      <c r="E13" s="6" t="s">
        <v>16</v>
      </c>
      <c r="F13" s="13">
        <f>'Memória de Cálculo'!F14</f>
        <v>19.125</v>
      </c>
      <c r="G13" s="25">
        <v>89.88</v>
      </c>
      <c r="H13" s="18">
        <f t="shared" ref="H13:H16" si="0">F13*G13</f>
        <v>1718.9549999999999</v>
      </c>
    </row>
    <row r="14" spans="1:8" ht="15" customHeight="1" x14ac:dyDescent="0.25">
      <c r="A14" s="9">
        <v>2</v>
      </c>
      <c r="B14" s="6" t="s">
        <v>210</v>
      </c>
      <c r="C14" s="7" t="s">
        <v>213</v>
      </c>
      <c r="D14" s="5" t="s">
        <v>102</v>
      </c>
      <c r="E14" s="6" t="s">
        <v>18</v>
      </c>
      <c r="F14" s="13">
        <f>'Memória de Cálculo'!F17</f>
        <v>6.5975000000000001</v>
      </c>
      <c r="G14" s="25">
        <v>250.69</v>
      </c>
      <c r="H14" s="18">
        <f t="shared" si="0"/>
        <v>1653.927275</v>
      </c>
    </row>
    <row r="15" spans="1:8" ht="15" customHeight="1" x14ac:dyDescent="0.25">
      <c r="A15" s="9">
        <v>3</v>
      </c>
      <c r="B15" s="6" t="s">
        <v>227</v>
      </c>
      <c r="C15" s="7" t="s">
        <v>29</v>
      </c>
      <c r="D15" s="5" t="s">
        <v>30</v>
      </c>
      <c r="E15" s="6" t="s">
        <v>25</v>
      </c>
      <c r="F15" s="13">
        <f>'Memória de Cálculo'!F20</f>
        <v>97.79</v>
      </c>
      <c r="G15" s="18">
        <v>12.76</v>
      </c>
      <c r="H15" s="18">
        <f t="shared" si="0"/>
        <v>1247.8004000000001</v>
      </c>
    </row>
    <row r="16" spans="1:8" ht="15" customHeight="1" x14ac:dyDescent="0.25">
      <c r="A16" s="9">
        <v>4</v>
      </c>
      <c r="B16" s="6" t="s">
        <v>210</v>
      </c>
      <c r="C16" s="7" t="s">
        <v>214</v>
      </c>
      <c r="D16" s="5" t="s">
        <v>62</v>
      </c>
      <c r="E16" s="6" t="s">
        <v>18</v>
      </c>
      <c r="F16" s="13">
        <f>'Memória de Cálculo'!F23</f>
        <v>19.792499999999997</v>
      </c>
      <c r="G16" s="18">
        <v>646.67999999999995</v>
      </c>
      <c r="H16" s="18">
        <f t="shared" si="0"/>
        <v>12799.413899999998</v>
      </c>
    </row>
    <row r="17" spans="1:8" ht="15" customHeight="1" x14ac:dyDescent="0.25">
      <c r="A17" s="194" t="s">
        <v>80</v>
      </c>
      <c r="B17" s="195"/>
      <c r="C17" s="195"/>
      <c r="D17" s="195"/>
      <c r="E17" s="195"/>
      <c r="F17" s="195"/>
      <c r="G17" s="196"/>
      <c r="H17" s="24">
        <f>SUM(H13:H16)</f>
        <v>17420.096574999996</v>
      </c>
    </row>
    <row r="18" spans="1:8" ht="15" customHeight="1" x14ac:dyDescent="0.25">
      <c r="A18" s="140" t="s">
        <v>53</v>
      </c>
      <c r="B18" s="141"/>
      <c r="C18" s="141"/>
      <c r="D18" s="141"/>
      <c r="E18" s="141"/>
      <c r="F18" s="141"/>
      <c r="G18" s="141"/>
      <c r="H18" s="142"/>
    </row>
    <row r="19" spans="1:8" ht="15" customHeight="1" x14ac:dyDescent="0.25">
      <c r="A19" s="9">
        <v>1</v>
      </c>
      <c r="B19" s="6" t="s">
        <v>210</v>
      </c>
      <c r="C19" s="7" t="s">
        <v>215</v>
      </c>
      <c r="D19" s="10" t="s">
        <v>72</v>
      </c>
      <c r="E19" s="6" t="s">
        <v>18</v>
      </c>
      <c r="F19" s="13">
        <f>'Memória de Cálculo'!F27</f>
        <v>8.8199999999999985</v>
      </c>
      <c r="G19" s="18">
        <v>64.73</v>
      </c>
      <c r="H19" s="18">
        <f>F19*G19</f>
        <v>570.91859999999997</v>
      </c>
    </row>
    <row r="20" spans="1:8" ht="15" customHeight="1" x14ac:dyDescent="0.25">
      <c r="A20" s="9">
        <v>2</v>
      </c>
      <c r="B20" s="6" t="s">
        <v>210</v>
      </c>
      <c r="C20" s="7" t="s">
        <v>211</v>
      </c>
      <c r="D20" s="5" t="s">
        <v>28</v>
      </c>
      <c r="E20" s="6" t="s">
        <v>16</v>
      </c>
      <c r="F20" s="13">
        <f>'Memória de Cálculo'!F30</f>
        <v>9.2399999999999984</v>
      </c>
      <c r="G20" s="18">
        <v>89.88</v>
      </c>
      <c r="H20" s="18">
        <f t="shared" ref="H20:H23" si="1">F20*G20</f>
        <v>830.49119999999982</v>
      </c>
    </row>
    <row r="21" spans="1:8" ht="15" customHeight="1" x14ac:dyDescent="0.25">
      <c r="A21" s="9">
        <v>3</v>
      </c>
      <c r="B21" s="6" t="s">
        <v>210</v>
      </c>
      <c r="C21" s="85" t="s">
        <v>214</v>
      </c>
      <c r="D21" s="5" t="s">
        <v>32</v>
      </c>
      <c r="E21" s="6" t="s">
        <v>18</v>
      </c>
      <c r="F21" s="13">
        <f>'Memória de Cálculo'!F33</f>
        <v>1.1759999999999999</v>
      </c>
      <c r="G21" s="18">
        <v>646.67999999999995</v>
      </c>
      <c r="H21" s="18">
        <f t="shared" si="1"/>
        <v>760.49567999999988</v>
      </c>
    </row>
    <row r="22" spans="1:8" ht="15" customHeight="1" x14ac:dyDescent="0.25">
      <c r="A22" s="9">
        <v>4</v>
      </c>
      <c r="B22" s="6" t="s">
        <v>210</v>
      </c>
      <c r="C22" s="7" t="s">
        <v>216</v>
      </c>
      <c r="D22" s="5" t="s">
        <v>23</v>
      </c>
      <c r="E22" s="6" t="s">
        <v>16</v>
      </c>
      <c r="F22" s="6">
        <f>'Memória de Cálculo'!F36</f>
        <v>16.799999999999997</v>
      </c>
      <c r="G22" s="18">
        <v>103.58</v>
      </c>
      <c r="H22" s="18">
        <f t="shared" si="1"/>
        <v>1740.1439999999998</v>
      </c>
    </row>
    <row r="23" spans="1:8" ht="15" customHeight="1" x14ac:dyDescent="0.25">
      <c r="A23" s="9">
        <v>5</v>
      </c>
      <c r="B23" s="6" t="s">
        <v>210</v>
      </c>
      <c r="C23" s="7" t="s">
        <v>217</v>
      </c>
      <c r="D23" s="5" t="s">
        <v>218</v>
      </c>
      <c r="E23" s="6" t="s">
        <v>16</v>
      </c>
      <c r="F23" s="6">
        <f>'Memória de Cálculo'!F39</f>
        <v>16.549800000000001</v>
      </c>
      <c r="G23" s="18">
        <v>53.95</v>
      </c>
      <c r="H23" s="18">
        <f t="shared" si="1"/>
        <v>892.86171000000013</v>
      </c>
    </row>
    <row r="24" spans="1:8" ht="15" customHeight="1" x14ac:dyDescent="0.25">
      <c r="A24" s="194" t="s">
        <v>76</v>
      </c>
      <c r="B24" s="195"/>
      <c r="C24" s="195"/>
      <c r="D24" s="195"/>
      <c r="E24" s="195"/>
      <c r="F24" s="195"/>
      <c r="G24" s="196"/>
      <c r="H24" s="24">
        <f>SUM(H19:H23)</f>
        <v>4794.9111899999998</v>
      </c>
    </row>
    <row r="25" spans="1:8" ht="15" customHeight="1" x14ac:dyDescent="0.25">
      <c r="A25" s="140" t="s">
        <v>2</v>
      </c>
      <c r="B25" s="141"/>
      <c r="C25" s="141"/>
      <c r="D25" s="141"/>
      <c r="E25" s="141"/>
      <c r="F25" s="141"/>
      <c r="G25" s="141"/>
      <c r="H25" s="142"/>
    </row>
    <row r="26" spans="1:8" ht="15" customHeight="1" x14ac:dyDescent="0.25">
      <c r="A26" s="9">
        <v>1</v>
      </c>
      <c r="B26" s="6" t="s">
        <v>210</v>
      </c>
      <c r="C26" s="7" t="s">
        <v>216</v>
      </c>
      <c r="D26" s="5" t="s">
        <v>33</v>
      </c>
      <c r="E26" s="6" t="s">
        <v>16</v>
      </c>
      <c r="F26" s="13">
        <f>'Memória de Cálculo'!F43</f>
        <v>677.95200000000011</v>
      </c>
      <c r="G26" s="18">
        <v>103.58</v>
      </c>
      <c r="H26" s="18">
        <f>F26*G26</f>
        <v>70222.268160000007</v>
      </c>
    </row>
    <row r="27" spans="1:8" ht="15" customHeight="1" x14ac:dyDescent="0.25">
      <c r="A27" s="9">
        <v>2</v>
      </c>
      <c r="B27" s="6" t="s">
        <v>210</v>
      </c>
      <c r="C27" s="7" t="s">
        <v>219</v>
      </c>
      <c r="D27" s="5" t="s">
        <v>26</v>
      </c>
      <c r="E27" s="6" t="s">
        <v>25</v>
      </c>
      <c r="F27" s="13">
        <f>'Memória de Cálculo'!F46</f>
        <v>172.48000000000002</v>
      </c>
      <c r="G27" s="18">
        <v>10.220000000000001</v>
      </c>
      <c r="H27" s="18">
        <f t="shared" ref="H27:H36" si="2">F27*G27</f>
        <v>1762.7456000000002</v>
      </c>
    </row>
    <row r="28" spans="1:8" ht="15" customHeight="1" x14ac:dyDescent="0.25">
      <c r="A28" s="9">
        <v>3</v>
      </c>
      <c r="B28" s="6" t="s">
        <v>210</v>
      </c>
      <c r="C28" s="7" t="s">
        <v>214</v>
      </c>
      <c r="D28" s="5" t="s">
        <v>32</v>
      </c>
      <c r="E28" s="6" t="s">
        <v>18</v>
      </c>
      <c r="F28" s="13">
        <f>'Memória de Cálculo'!F49</f>
        <v>0.20900000000000005</v>
      </c>
      <c r="G28" s="18">
        <v>646.67999999999995</v>
      </c>
      <c r="H28" s="18">
        <f t="shared" si="2"/>
        <v>135.15612000000002</v>
      </c>
    </row>
    <row r="29" spans="1:8" ht="15" customHeight="1" x14ac:dyDescent="0.25">
      <c r="A29" s="9">
        <v>4</v>
      </c>
      <c r="B29" s="6" t="s">
        <v>210</v>
      </c>
      <c r="C29" s="7" t="s">
        <v>211</v>
      </c>
      <c r="D29" s="5" t="s">
        <v>28</v>
      </c>
      <c r="E29" s="6" t="s">
        <v>16</v>
      </c>
      <c r="F29" s="13">
        <f>'Memória de Cálculo'!F52</f>
        <v>76.319999999999993</v>
      </c>
      <c r="G29" s="18">
        <v>89.88</v>
      </c>
      <c r="H29" s="18">
        <f t="shared" si="2"/>
        <v>6859.641599999999</v>
      </c>
    </row>
    <row r="30" spans="1:8" ht="15" customHeight="1" x14ac:dyDescent="0.25">
      <c r="A30" s="9">
        <v>5</v>
      </c>
      <c r="B30" s="6" t="s">
        <v>227</v>
      </c>
      <c r="C30" s="7" t="s">
        <v>34</v>
      </c>
      <c r="D30" s="5" t="s">
        <v>35</v>
      </c>
      <c r="E30" s="6" t="s">
        <v>16</v>
      </c>
      <c r="F30" s="13">
        <f>'Memória de Cálculo'!F55</f>
        <v>523.22400000000005</v>
      </c>
      <c r="G30" s="18">
        <v>202.48</v>
      </c>
      <c r="H30" s="18">
        <f t="shared" si="2"/>
        <v>105942.39552000001</v>
      </c>
    </row>
    <row r="31" spans="1:8" ht="15" customHeight="1" x14ac:dyDescent="0.25">
      <c r="A31" s="9">
        <v>6</v>
      </c>
      <c r="B31" s="6" t="s">
        <v>210</v>
      </c>
      <c r="C31" s="7" t="s">
        <v>220</v>
      </c>
      <c r="D31" s="5" t="s">
        <v>37</v>
      </c>
      <c r="E31" s="6" t="s">
        <v>25</v>
      </c>
      <c r="F31" s="13">
        <f>'Memória de Cálculo'!F58</f>
        <v>38.5</v>
      </c>
      <c r="G31" s="18">
        <v>10.62</v>
      </c>
      <c r="H31" s="18">
        <f t="shared" si="2"/>
        <v>408.86999999999995</v>
      </c>
    </row>
    <row r="32" spans="1:8" ht="15" customHeight="1" x14ac:dyDescent="0.25">
      <c r="A32" s="9">
        <v>7</v>
      </c>
      <c r="B32" s="6" t="s">
        <v>210</v>
      </c>
      <c r="C32" s="7" t="s">
        <v>214</v>
      </c>
      <c r="D32" s="5" t="s">
        <v>32</v>
      </c>
      <c r="E32" s="6" t="s">
        <v>18</v>
      </c>
      <c r="F32" s="13">
        <f>'Memória de Cálculo'!F61</f>
        <v>20.928960000000004</v>
      </c>
      <c r="G32" s="18">
        <v>646.67999999999995</v>
      </c>
      <c r="H32" s="18">
        <f t="shared" si="2"/>
        <v>13534.339852800002</v>
      </c>
    </row>
    <row r="33" spans="1:18" ht="15" customHeight="1" x14ac:dyDescent="0.25">
      <c r="A33" s="9">
        <v>8</v>
      </c>
      <c r="B33" s="6" t="s">
        <v>210</v>
      </c>
      <c r="C33" s="7" t="s">
        <v>221</v>
      </c>
      <c r="D33" s="5" t="s">
        <v>45</v>
      </c>
      <c r="E33" s="6" t="s">
        <v>16</v>
      </c>
      <c r="F33" s="13">
        <f>'Memória de Cálculo'!F64</f>
        <v>679.19999999999993</v>
      </c>
      <c r="G33" s="18">
        <v>67.94</v>
      </c>
      <c r="H33" s="18">
        <f t="shared" si="2"/>
        <v>46144.847999999991</v>
      </c>
      <c r="R33">
        <v>285.08589999999998</v>
      </c>
    </row>
    <row r="34" spans="1:18" ht="15" customHeight="1" x14ac:dyDescent="0.25">
      <c r="A34" s="9">
        <v>9</v>
      </c>
      <c r="B34" s="6" t="s">
        <v>210</v>
      </c>
      <c r="C34" s="7" t="s">
        <v>222</v>
      </c>
      <c r="D34" s="5" t="s">
        <v>42</v>
      </c>
      <c r="E34" s="6" t="s">
        <v>20</v>
      </c>
      <c r="F34" s="6">
        <f>'Memória de Cálculo'!F67</f>
        <v>220.7</v>
      </c>
      <c r="G34" s="18">
        <v>51.59</v>
      </c>
      <c r="H34" s="18">
        <f t="shared" si="2"/>
        <v>11385.913</v>
      </c>
      <c r="R34">
        <v>93.91</v>
      </c>
    </row>
    <row r="35" spans="1:18" ht="15" customHeight="1" x14ac:dyDescent="0.25">
      <c r="A35" s="9">
        <v>10</v>
      </c>
      <c r="B35" s="6" t="s">
        <v>227</v>
      </c>
      <c r="C35" s="7" t="s">
        <v>40</v>
      </c>
      <c r="D35" s="5" t="s">
        <v>43</v>
      </c>
      <c r="E35" s="6" t="s">
        <v>11</v>
      </c>
      <c r="F35" s="6">
        <f>'Memória de Cálculo'!F70</f>
        <v>200</v>
      </c>
      <c r="G35" s="18">
        <v>22.01</v>
      </c>
      <c r="H35" s="18">
        <f t="shared" si="2"/>
        <v>4402</v>
      </c>
      <c r="R35">
        <f>SUM(R33:R34)</f>
        <v>378.99590000000001</v>
      </c>
    </row>
    <row r="36" spans="1:18" ht="15" customHeight="1" x14ac:dyDescent="0.25">
      <c r="A36" s="9">
        <v>11</v>
      </c>
      <c r="B36" s="6" t="s">
        <v>227</v>
      </c>
      <c r="C36" s="7" t="s">
        <v>41</v>
      </c>
      <c r="D36" s="5" t="s">
        <v>44</v>
      </c>
      <c r="E36" s="6" t="s">
        <v>11</v>
      </c>
      <c r="F36" s="6">
        <f>'Memória de Cálculo'!F73</f>
        <v>250</v>
      </c>
      <c r="G36" s="18">
        <v>21.71</v>
      </c>
      <c r="H36" s="18">
        <f t="shared" si="2"/>
        <v>5427.5</v>
      </c>
    </row>
    <row r="37" spans="1:18" ht="15" customHeight="1" x14ac:dyDescent="0.25">
      <c r="A37" s="194" t="s">
        <v>77</v>
      </c>
      <c r="B37" s="195"/>
      <c r="C37" s="195"/>
      <c r="D37" s="195"/>
      <c r="E37" s="195"/>
      <c r="F37" s="195"/>
      <c r="G37" s="196"/>
      <c r="H37" s="24">
        <f>SUM(H26:H36)</f>
        <v>266225.6778528</v>
      </c>
    </row>
    <row r="38" spans="1:18" ht="15" customHeight="1" x14ac:dyDescent="0.25">
      <c r="A38" s="191" t="s">
        <v>38</v>
      </c>
      <c r="B38" s="192"/>
      <c r="C38" s="192"/>
      <c r="D38" s="192"/>
      <c r="E38" s="192"/>
      <c r="F38" s="192"/>
      <c r="G38" s="192"/>
      <c r="H38" s="193"/>
    </row>
    <row r="39" spans="1:18" ht="15" customHeight="1" x14ac:dyDescent="0.25">
      <c r="A39" s="9">
        <v>1</v>
      </c>
      <c r="B39" s="6" t="s">
        <v>210</v>
      </c>
      <c r="C39" s="7" t="s">
        <v>223</v>
      </c>
      <c r="D39" s="5" t="s">
        <v>83</v>
      </c>
      <c r="E39" s="6" t="s">
        <v>16</v>
      </c>
      <c r="F39" s="13">
        <f>'Memória de Cálculo'!F77</f>
        <v>261.024</v>
      </c>
      <c r="G39" s="18">
        <v>19.11</v>
      </c>
      <c r="H39" s="18">
        <f>F39*G39</f>
        <v>4988.1686399999999</v>
      </c>
    </row>
    <row r="40" spans="1:18" ht="15" customHeight="1" x14ac:dyDescent="0.25">
      <c r="A40" s="9">
        <v>2</v>
      </c>
      <c r="B40" s="6" t="s">
        <v>210</v>
      </c>
      <c r="C40" s="7" t="s">
        <v>224</v>
      </c>
      <c r="D40" s="5" t="s">
        <v>50</v>
      </c>
      <c r="E40" s="6" t="s">
        <v>16</v>
      </c>
      <c r="F40" s="6">
        <f>'Memória de Cálculo'!F80</f>
        <v>261.024</v>
      </c>
      <c r="G40" s="18">
        <v>54.82</v>
      </c>
      <c r="H40" s="18">
        <f t="shared" ref="H40:H42" si="3">F40*G40</f>
        <v>14309.33568</v>
      </c>
    </row>
    <row r="41" spans="1:18" ht="15" customHeight="1" x14ac:dyDescent="0.25">
      <c r="A41" s="9">
        <v>3</v>
      </c>
      <c r="B41" s="6" t="s">
        <v>210</v>
      </c>
      <c r="C41" s="7" t="s">
        <v>225</v>
      </c>
      <c r="D41" s="5" t="s">
        <v>51</v>
      </c>
      <c r="E41" s="6" t="s">
        <v>16</v>
      </c>
      <c r="F41" s="6">
        <f>'Memória de Cálculo'!F83</f>
        <v>261.024</v>
      </c>
      <c r="G41" s="18">
        <v>18.79</v>
      </c>
      <c r="H41" s="18">
        <f t="shared" si="3"/>
        <v>4904.6409599999997</v>
      </c>
    </row>
    <row r="42" spans="1:18" ht="15" customHeight="1" x14ac:dyDescent="0.25">
      <c r="A42" s="9">
        <v>4</v>
      </c>
      <c r="B42" s="6" t="s">
        <v>210</v>
      </c>
      <c r="C42" s="7" t="s">
        <v>226</v>
      </c>
      <c r="D42" s="5" t="s">
        <v>52</v>
      </c>
      <c r="E42" s="6" t="s">
        <v>16</v>
      </c>
      <c r="F42" s="13">
        <v>380</v>
      </c>
      <c r="G42" s="18">
        <v>15.53</v>
      </c>
      <c r="H42" s="18">
        <f t="shared" si="3"/>
        <v>5901.4</v>
      </c>
    </row>
    <row r="43" spans="1:18" ht="15" customHeight="1" x14ac:dyDescent="0.25">
      <c r="A43" s="197" t="s">
        <v>78</v>
      </c>
      <c r="B43" s="197"/>
      <c r="C43" s="197"/>
      <c r="D43" s="197"/>
      <c r="E43" s="197"/>
      <c r="F43" s="197"/>
      <c r="G43" s="197"/>
      <c r="H43" s="18">
        <f>SUM(H39:H42)</f>
        <v>30103.545279999998</v>
      </c>
    </row>
    <row r="44" spans="1:18" ht="15" customHeight="1" x14ac:dyDescent="0.25">
      <c r="A44" s="180" t="s">
        <v>208</v>
      </c>
      <c r="B44" s="180"/>
      <c r="C44" s="180"/>
      <c r="D44" s="180"/>
      <c r="E44" s="180"/>
      <c r="F44" s="197" t="s">
        <v>74</v>
      </c>
      <c r="G44" s="197"/>
      <c r="H44" s="24">
        <f>H11+H17+H24+H37+H43</f>
        <v>321822.63089780003</v>
      </c>
    </row>
    <row r="45" spans="1:18" ht="15" customHeight="1" x14ac:dyDescent="0.25">
      <c r="A45" s="181"/>
      <c r="B45" s="181"/>
      <c r="C45" s="181"/>
      <c r="D45" s="181"/>
      <c r="E45" s="181"/>
      <c r="F45" s="197" t="s">
        <v>65</v>
      </c>
      <c r="G45" s="197"/>
      <c r="H45" s="23">
        <f>BDI!C12</f>
        <v>0.27340920197044327</v>
      </c>
    </row>
    <row r="46" spans="1:18" ht="15" customHeight="1" x14ac:dyDescent="0.25">
      <c r="A46" s="181"/>
      <c r="B46" s="181"/>
      <c r="C46" s="181"/>
      <c r="D46" s="181"/>
      <c r="E46" s="181"/>
      <c r="F46" s="197" t="s">
        <v>66</v>
      </c>
      <c r="G46" s="197"/>
      <c r="H46" s="24">
        <f>H44*(1+H45)</f>
        <v>409811.89958759607</v>
      </c>
    </row>
    <row r="47" spans="1:18" ht="15" customHeight="1" x14ac:dyDescent="0.25">
      <c r="A47" s="181"/>
      <c r="B47" s="181"/>
      <c r="C47" s="181"/>
      <c r="D47" s="181"/>
      <c r="E47" s="181"/>
      <c r="F47" s="4"/>
      <c r="G47" s="4"/>
      <c r="H47" s="4"/>
    </row>
    <row r="48" spans="1:18" ht="15" customHeight="1" x14ac:dyDescent="0.25">
      <c r="A48" s="181"/>
      <c r="B48" s="181"/>
      <c r="C48" s="181"/>
      <c r="D48" s="181"/>
      <c r="E48" s="181"/>
      <c r="F48" s="4"/>
      <c r="G48" s="4"/>
      <c r="H48" s="4"/>
    </row>
    <row r="49" spans="1:8" ht="15" customHeight="1" x14ac:dyDescent="0.25">
      <c r="A49" s="181"/>
      <c r="B49" s="181"/>
      <c r="C49" s="181"/>
      <c r="D49" s="181"/>
      <c r="E49" s="181"/>
      <c r="F49" s="4"/>
      <c r="G49" s="4"/>
      <c r="H49" s="4"/>
    </row>
    <row r="50" spans="1:8" ht="15" customHeight="1" x14ac:dyDescent="0.25">
      <c r="A50" s="181"/>
      <c r="B50" s="181"/>
      <c r="C50" s="181"/>
      <c r="D50" s="181"/>
      <c r="E50" s="181"/>
      <c r="F50" s="4"/>
      <c r="G50" s="4"/>
      <c r="H50" s="4"/>
    </row>
    <row r="51" spans="1:8" ht="15" customHeight="1" x14ac:dyDescent="0.25">
      <c r="A51" s="181"/>
      <c r="B51" s="181"/>
      <c r="C51" s="181"/>
      <c r="D51" s="181"/>
      <c r="E51" s="181"/>
      <c r="F51" s="4"/>
      <c r="G51" s="4"/>
      <c r="H51" s="4"/>
    </row>
    <row r="52" spans="1:8" ht="15" customHeight="1" x14ac:dyDescent="0.25">
      <c r="A52" s="14"/>
      <c r="B52" s="14"/>
      <c r="C52" s="14"/>
      <c r="D52" s="14"/>
      <c r="E52" s="14"/>
      <c r="F52" s="14"/>
      <c r="G52" s="14"/>
      <c r="H52" s="14"/>
    </row>
    <row r="53" spans="1:8" ht="15" customHeight="1" x14ac:dyDescent="0.25">
      <c r="A53" s="14"/>
      <c r="B53" s="14"/>
      <c r="C53" s="14"/>
      <c r="D53" s="14"/>
      <c r="E53" s="14"/>
      <c r="F53" s="14"/>
      <c r="G53" s="14"/>
      <c r="H53" s="14"/>
    </row>
    <row r="54" spans="1:8" ht="15" customHeight="1" x14ac:dyDescent="0.25">
      <c r="A54" s="14"/>
      <c r="B54" s="14"/>
      <c r="C54" s="14"/>
      <c r="D54" s="14"/>
      <c r="E54" s="14"/>
      <c r="F54" s="4"/>
      <c r="G54" s="4"/>
      <c r="H54" s="14"/>
    </row>
    <row r="55" spans="1:8" ht="15" customHeight="1" x14ac:dyDescent="0.25">
      <c r="A55" s="16"/>
      <c r="B55" s="16"/>
      <c r="C55" s="16"/>
      <c r="D55" s="14"/>
      <c r="E55" s="14"/>
      <c r="F55" s="14"/>
      <c r="G55" s="14"/>
      <c r="H55" s="14"/>
    </row>
    <row r="56" spans="1:8" ht="15" customHeight="1" x14ac:dyDescent="0.25">
      <c r="A56" s="16"/>
      <c r="B56" s="16"/>
      <c r="C56" s="16"/>
      <c r="D56" s="14"/>
      <c r="E56" s="14"/>
      <c r="F56" s="14"/>
      <c r="G56" s="14"/>
      <c r="H56" s="14"/>
    </row>
    <row r="57" spans="1:8" ht="15" customHeight="1" x14ac:dyDescent="0.25">
      <c r="A57" s="16"/>
      <c r="B57" s="4"/>
      <c r="C57" s="17"/>
      <c r="D57" s="4"/>
      <c r="E57" s="14"/>
      <c r="F57" s="4"/>
      <c r="G57" s="4"/>
      <c r="H57" s="14"/>
    </row>
    <row r="58" spans="1:8" ht="15" customHeight="1" x14ac:dyDescent="0.25">
      <c r="A58" s="16"/>
      <c r="B58" s="16"/>
      <c r="C58" s="16"/>
      <c r="D58" s="14"/>
      <c r="E58" s="14"/>
      <c r="F58" s="14"/>
      <c r="G58" s="14"/>
      <c r="H58" s="14"/>
    </row>
    <row r="59" spans="1:8" ht="15" customHeight="1" x14ac:dyDescent="0.25">
      <c r="A59" s="16"/>
      <c r="B59" s="16"/>
      <c r="C59" s="16"/>
      <c r="D59" s="14"/>
      <c r="E59" s="14"/>
      <c r="F59" s="14"/>
      <c r="G59" s="14"/>
      <c r="H59" s="14"/>
    </row>
    <row r="60" spans="1:8" ht="15" customHeight="1" x14ac:dyDescent="0.25">
      <c r="A60" s="16"/>
      <c r="B60" s="16"/>
      <c r="C60" s="16"/>
      <c r="D60" s="16"/>
      <c r="E60" s="16"/>
      <c r="F60" s="16"/>
      <c r="G60" s="16"/>
      <c r="H60" s="16"/>
    </row>
    <row r="61" spans="1:8" ht="15" customHeight="1" x14ac:dyDescent="0.25">
      <c r="A61" s="16"/>
      <c r="B61" s="4"/>
      <c r="C61" s="17"/>
      <c r="D61" s="4"/>
      <c r="E61" s="14"/>
      <c r="F61" s="4"/>
      <c r="G61" s="4"/>
      <c r="H61" s="14"/>
    </row>
    <row r="62" spans="1:8" ht="15" customHeight="1" x14ac:dyDescent="0.25">
      <c r="A62" s="16"/>
      <c r="B62" s="16"/>
      <c r="C62" s="16"/>
      <c r="D62" s="14"/>
      <c r="E62" s="14"/>
      <c r="F62" s="14"/>
      <c r="G62" s="14"/>
      <c r="H62" s="14"/>
    </row>
    <row r="63" spans="1:8" ht="15" customHeight="1" x14ac:dyDescent="0.25">
      <c r="A63" s="16"/>
      <c r="B63" s="16"/>
      <c r="C63" s="16"/>
      <c r="D63" s="14"/>
      <c r="E63" s="14"/>
      <c r="F63" s="14"/>
      <c r="G63" s="14"/>
      <c r="H63" s="14"/>
    </row>
    <row r="64" spans="1:8" ht="15" customHeight="1" x14ac:dyDescent="0.25">
      <c r="A64" s="16"/>
      <c r="B64" s="14"/>
      <c r="C64" s="17"/>
      <c r="D64" s="4"/>
      <c r="E64" s="14"/>
      <c r="F64" s="4"/>
      <c r="G64" s="4"/>
      <c r="H64" s="14"/>
    </row>
    <row r="65" spans="1:8" ht="15" customHeight="1" x14ac:dyDescent="0.25">
      <c r="A65" s="16"/>
      <c r="B65" s="16"/>
      <c r="C65" s="16"/>
      <c r="D65" s="14"/>
      <c r="E65" s="14"/>
      <c r="F65" s="14"/>
      <c r="G65" s="14"/>
      <c r="H65" s="14"/>
    </row>
    <row r="66" spans="1:8" ht="15" customHeight="1" x14ac:dyDescent="0.25">
      <c r="A66" s="16"/>
      <c r="B66" s="16"/>
      <c r="C66" s="16"/>
      <c r="D66" s="14"/>
      <c r="E66" s="14"/>
      <c r="F66" s="14"/>
      <c r="G66" s="14"/>
      <c r="H66" s="14"/>
    </row>
    <row r="67" spans="1:8" ht="15" customHeight="1" x14ac:dyDescent="0.25">
      <c r="A67" s="16"/>
      <c r="B67" s="14"/>
      <c r="C67" s="17"/>
      <c r="D67" s="4"/>
      <c r="E67" s="14"/>
      <c r="F67" s="4"/>
      <c r="G67" s="4"/>
      <c r="H67" s="14"/>
    </row>
    <row r="68" spans="1:8" ht="15" customHeight="1" x14ac:dyDescent="0.25">
      <c r="A68" s="16"/>
      <c r="B68" s="16"/>
      <c r="C68" s="16"/>
      <c r="D68" s="14"/>
      <c r="E68" s="14"/>
      <c r="F68" s="14"/>
      <c r="G68" s="14"/>
      <c r="H68" s="14"/>
    </row>
    <row r="69" spans="1:8" ht="15" customHeight="1" x14ac:dyDescent="0.25">
      <c r="A69" s="16"/>
      <c r="B69" s="16"/>
      <c r="C69" s="16"/>
      <c r="D69" s="14"/>
      <c r="E69" s="14"/>
      <c r="F69" s="14"/>
      <c r="G69" s="14"/>
      <c r="H69" s="14"/>
    </row>
    <row r="70" spans="1:8" ht="15" customHeight="1" x14ac:dyDescent="0.25">
      <c r="A70" s="16"/>
      <c r="B70" s="14"/>
      <c r="C70" s="17"/>
      <c r="D70" s="4"/>
      <c r="E70" s="14"/>
      <c r="F70" s="4"/>
      <c r="G70" s="4"/>
      <c r="H70" s="14"/>
    </row>
    <row r="71" spans="1:8" ht="15" customHeight="1" x14ac:dyDescent="0.25">
      <c r="A71" s="16"/>
      <c r="B71" s="16"/>
      <c r="C71" s="16"/>
      <c r="D71" s="14"/>
      <c r="E71" s="14"/>
      <c r="F71" s="14"/>
      <c r="G71" s="14"/>
      <c r="H71" s="14"/>
    </row>
    <row r="72" spans="1:8" ht="15" customHeight="1" x14ac:dyDescent="0.25">
      <c r="A72" s="16"/>
      <c r="B72" s="16"/>
      <c r="C72" s="16"/>
      <c r="D72" s="14"/>
      <c r="E72" s="14"/>
      <c r="F72" s="14"/>
      <c r="G72" s="14"/>
      <c r="H72" s="14"/>
    </row>
    <row r="73" spans="1:8" ht="15" customHeight="1" x14ac:dyDescent="0.25">
      <c r="A73" s="16"/>
      <c r="B73" s="14"/>
      <c r="C73" s="17"/>
      <c r="D73" s="4"/>
      <c r="E73" s="14"/>
      <c r="F73" s="4"/>
      <c r="G73" s="4"/>
      <c r="H73" s="14"/>
    </row>
    <row r="74" spans="1:8" ht="15" customHeight="1" x14ac:dyDescent="0.25">
      <c r="A74" s="16"/>
      <c r="B74" s="16"/>
      <c r="C74" s="16"/>
      <c r="D74" s="14"/>
      <c r="E74" s="14"/>
      <c r="F74" s="14"/>
      <c r="G74" s="14"/>
      <c r="H74" s="14"/>
    </row>
    <row r="75" spans="1:8" ht="15" customHeight="1" x14ac:dyDescent="0.25">
      <c r="A75" s="16"/>
      <c r="B75" s="16"/>
      <c r="C75" s="16"/>
      <c r="D75" s="14"/>
      <c r="E75" s="14"/>
      <c r="F75" s="14"/>
      <c r="G75" s="14"/>
      <c r="H75" s="14"/>
    </row>
    <row r="76" spans="1:8" ht="15" customHeight="1" x14ac:dyDescent="0.25">
      <c r="A76" s="16"/>
      <c r="B76" s="4"/>
      <c r="C76" s="17"/>
      <c r="D76" s="4"/>
      <c r="E76" s="14"/>
      <c r="F76" s="4"/>
      <c r="G76" s="4"/>
      <c r="H76" s="14"/>
    </row>
    <row r="77" spans="1:8" ht="15" customHeight="1" x14ac:dyDescent="0.25">
      <c r="A77" s="16"/>
      <c r="B77" s="16"/>
      <c r="C77" s="16"/>
      <c r="D77" s="14"/>
      <c r="E77" s="14"/>
      <c r="F77" s="14"/>
      <c r="G77" s="14"/>
      <c r="H77" s="14"/>
    </row>
    <row r="78" spans="1:8" ht="15" customHeight="1" x14ac:dyDescent="0.25">
      <c r="A78" s="16"/>
      <c r="B78" s="16"/>
      <c r="C78" s="16"/>
      <c r="D78" s="14"/>
      <c r="E78" s="14"/>
      <c r="F78" s="14"/>
      <c r="G78" s="14"/>
      <c r="H78" s="14"/>
    </row>
    <row r="79" spans="1:8" ht="15" customHeight="1" x14ac:dyDescent="0.25">
      <c r="A79" s="16"/>
      <c r="B79" s="14"/>
      <c r="C79" s="17"/>
      <c r="D79" s="4"/>
      <c r="E79" s="14"/>
      <c r="F79" s="14"/>
      <c r="G79" s="14"/>
      <c r="H79" s="14"/>
    </row>
    <row r="80" spans="1:8" ht="15" customHeight="1" x14ac:dyDescent="0.25">
      <c r="A80" s="16"/>
      <c r="B80" s="16"/>
      <c r="C80" s="16"/>
      <c r="D80" s="14"/>
      <c r="E80" s="14"/>
      <c r="F80" s="14"/>
      <c r="G80" s="14"/>
      <c r="H80" s="14"/>
    </row>
    <row r="81" spans="1:8" ht="15" customHeight="1" x14ac:dyDescent="0.25">
      <c r="A81" s="16"/>
      <c r="B81" s="16"/>
      <c r="C81" s="16"/>
      <c r="D81" s="14"/>
      <c r="E81" s="14"/>
      <c r="F81" s="14"/>
      <c r="G81" s="14"/>
      <c r="H81" s="14"/>
    </row>
    <row r="82" spans="1:8" ht="15" customHeight="1" x14ac:dyDescent="0.25">
      <c r="A82" s="16"/>
      <c r="B82" s="14"/>
      <c r="C82" s="17"/>
      <c r="D82" s="4"/>
      <c r="E82" s="14"/>
      <c r="F82" s="14"/>
      <c r="G82" s="14"/>
      <c r="H82" s="14"/>
    </row>
    <row r="83" spans="1:8" ht="15" customHeight="1" x14ac:dyDescent="0.25">
      <c r="A83" s="16"/>
      <c r="B83" s="16"/>
      <c r="C83" s="16"/>
      <c r="D83" s="14"/>
      <c r="E83" s="14"/>
      <c r="F83" s="14"/>
      <c r="G83" s="14"/>
      <c r="H83" s="14"/>
    </row>
    <row r="84" spans="1:8" ht="15" customHeight="1" x14ac:dyDescent="0.25">
      <c r="A84" s="16"/>
      <c r="B84" s="16"/>
      <c r="C84" s="16"/>
      <c r="D84" s="14"/>
      <c r="E84" s="14"/>
      <c r="F84" s="14"/>
      <c r="G84" s="14"/>
      <c r="H84" s="14"/>
    </row>
    <row r="85" spans="1:8" ht="15" customHeight="1" x14ac:dyDescent="0.25">
      <c r="A85" s="16"/>
      <c r="B85" s="14"/>
      <c r="C85" s="17"/>
      <c r="D85" s="4"/>
      <c r="E85" s="14"/>
      <c r="F85" s="14"/>
      <c r="G85" s="14"/>
      <c r="H85" s="14"/>
    </row>
    <row r="86" spans="1:8" ht="15" customHeight="1" x14ac:dyDescent="0.25">
      <c r="A86" s="16"/>
      <c r="B86" s="16"/>
      <c r="C86" s="16"/>
      <c r="D86" s="14"/>
      <c r="E86" s="14"/>
      <c r="F86" s="14"/>
      <c r="G86" s="14"/>
      <c r="H86" s="14"/>
    </row>
    <row r="87" spans="1:8" ht="15" customHeight="1" x14ac:dyDescent="0.25">
      <c r="A87" s="16"/>
      <c r="B87" s="16"/>
      <c r="C87" s="16"/>
      <c r="D87" s="14"/>
      <c r="E87" s="14"/>
      <c r="F87" s="14"/>
      <c r="G87" s="14"/>
      <c r="H87" s="14"/>
    </row>
    <row r="88" spans="1:8" ht="15" customHeight="1" x14ac:dyDescent="0.25">
      <c r="A88" s="16"/>
      <c r="B88" s="14"/>
      <c r="C88" s="17"/>
      <c r="D88" s="4"/>
      <c r="E88" s="14"/>
      <c r="F88" s="14"/>
      <c r="G88" s="14"/>
      <c r="H88" s="14"/>
    </row>
    <row r="89" spans="1:8" ht="15" customHeight="1" x14ac:dyDescent="0.25">
      <c r="A89" s="16"/>
      <c r="B89" s="16"/>
      <c r="C89" s="16"/>
      <c r="D89" s="14"/>
      <c r="E89" s="14"/>
      <c r="F89" s="14"/>
      <c r="G89" s="14"/>
      <c r="H89" s="14"/>
    </row>
    <row r="90" spans="1:8" ht="15" customHeight="1" x14ac:dyDescent="0.25">
      <c r="A90" s="16"/>
      <c r="B90" s="16"/>
      <c r="C90" s="16"/>
      <c r="D90" s="14"/>
      <c r="E90" s="14"/>
      <c r="F90" s="14"/>
      <c r="G90" s="14"/>
      <c r="H90" s="14"/>
    </row>
    <row r="91" spans="1:8" ht="15" customHeight="1" x14ac:dyDescent="0.25">
      <c r="A91" s="15"/>
      <c r="B91" s="15"/>
      <c r="C91" s="15"/>
      <c r="D91" s="15"/>
      <c r="E91" s="15"/>
      <c r="F91" s="15"/>
      <c r="G91" s="15"/>
      <c r="H91" s="15"/>
    </row>
    <row r="92" spans="1:8" ht="15" customHeight="1" x14ac:dyDescent="0.25">
      <c r="A92" s="16"/>
      <c r="B92" s="4"/>
      <c r="C92" s="17"/>
      <c r="D92" s="4"/>
      <c r="E92" s="14"/>
      <c r="F92" s="14"/>
      <c r="G92" s="4"/>
      <c r="H92" s="4"/>
    </row>
    <row r="93" spans="1:8" ht="15" customHeight="1" x14ac:dyDescent="0.25">
      <c r="A93" s="16"/>
      <c r="B93" s="16"/>
      <c r="C93" s="16"/>
      <c r="D93" s="14"/>
      <c r="E93" s="14"/>
      <c r="F93" s="14"/>
      <c r="G93" s="14"/>
      <c r="H93" s="14"/>
    </row>
    <row r="94" spans="1:8" ht="15" customHeight="1" x14ac:dyDescent="0.25">
      <c r="A94" s="16"/>
      <c r="B94" s="16"/>
      <c r="C94" s="16"/>
      <c r="D94" s="14"/>
      <c r="E94" s="14"/>
      <c r="F94" s="14"/>
      <c r="G94" s="14"/>
      <c r="H94" s="14"/>
    </row>
    <row r="95" spans="1:8" ht="15" customHeight="1" x14ac:dyDescent="0.25">
      <c r="A95" s="16"/>
      <c r="B95" s="4"/>
      <c r="C95" s="17"/>
      <c r="D95" s="4"/>
      <c r="E95" s="14"/>
      <c r="F95" s="14"/>
      <c r="G95" s="4"/>
      <c r="H95" s="4"/>
    </row>
    <row r="96" spans="1:8" ht="15" customHeight="1" x14ac:dyDescent="0.25">
      <c r="A96" s="16"/>
      <c r="B96" s="16"/>
      <c r="C96" s="16"/>
      <c r="D96" s="14"/>
      <c r="E96" s="14"/>
      <c r="F96" s="14"/>
      <c r="G96" s="14"/>
      <c r="H96" s="14"/>
    </row>
    <row r="97" spans="1:8" ht="15" customHeight="1" x14ac:dyDescent="0.25">
      <c r="A97" s="16"/>
      <c r="B97" s="16"/>
      <c r="C97" s="16"/>
      <c r="D97" s="14"/>
      <c r="E97" s="14"/>
      <c r="F97" s="14"/>
      <c r="G97" s="14"/>
      <c r="H97" s="14"/>
    </row>
    <row r="98" spans="1:8" ht="15" customHeight="1" x14ac:dyDescent="0.25">
      <c r="A98" s="16"/>
      <c r="B98" s="4"/>
      <c r="C98" s="17"/>
      <c r="D98" s="4"/>
      <c r="E98" s="14"/>
      <c r="F98" s="14"/>
      <c r="G98" s="4"/>
      <c r="H98" s="4"/>
    </row>
    <row r="99" spans="1:8" ht="15" customHeight="1" x14ac:dyDescent="0.25">
      <c r="A99" s="16"/>
      <c r="B99" s="16"/>
      <c r="C99" s="16"/>
      <c r="D99" s="14"/>
      <c r="E99" s="14"/>
      <c r="F99" s="14"/>
      <c r="G99" s="14"/>
      <c r="H99" s="14"/>
    </row>
    <row r="100" spans="1:8" ht="15" customHeight="1" x14ac:dyDescent="0.25">
      <c r="A100" s="16"/>
      <c r="B100" s="16"/>
      <c r="C100" s="16"/>
      <c r="D100" s="14"/>
      <c r="E100" s="14"/>
      <c r="F100" s="14"/>
      <c r="G100" s="14"/>
      <c r="H100" s="14"/>
    </row>
    <row r="101" spans="1:8" ht="15" customHeight="1" x14ac:dyDescent="0.25">
      <c r="A101" s="16"/>
      <c r="B101" s="4"/>
      <c r="C101" s="17"/>
      <c r="D101" s="4"/>
      <c r="E101" s="14"/>
      <c r="F101" s="14"/>
      <c r="G101" s="14"/>
      <c r="H101" s="14"/>
    </row>
    <row r="102" spans="1:8" ht="15" customHeight="1" x14ac:dyDescent="0.25">
      <c r="A102" s="16"/>
      <c r="B102" s="16"/>
      <c r="C102" s="16"/>
      <c r="D102" s="14"/>
      <c r="E102" s="14"/>
      <c r="F102" s="14"/>
      <c r="G102" s="14"/>
      <c r="H102" s="14"/>
    </row>
    <row r="103" spans="1:8" ht="14.45" customHeight="1" x14ac:dyDescent="0.25">
      <c r="A103" s="16"/>
      <c r="B103" s="16"/>
      <c r="C103" s="16"/>
      <c r="D103" s="14"/>
      <c r="E103" s="14"/>
      <c r="F103" s="14"/>
      <c r="G103" s="14"/>
      <c r="H103" s="14"/>
    </row>
  </sheetData>
  <mergeCells count="19">
    <mergeCell ref="F44:G44"/>
    <mergeCell ref="A18:H18"/>
    <mergeCell ref="A25:H25"/>
    <mergeCell ref="A37:G37"/>
    <mergeCell ref="A38:H38"/>
    <mergeCell ref="A43:G43"/>
    <mergeCell ref="A44:E51"/>
    <mergeCell ref="F45:G45"/>
    <mergeCell ref="F46:G46"/>
    <mergeCell ref="A24:G24"/>
    <mergeCell ref="A17:G17"/>
    <mergeCell ref="A12:H12"/>
    <mergeCell ref="A9:H9"/>
    <mergeCell ref="A11:G11"/>
    <mergeCell ref="A1:C7"/>
    <mergeCell ref="D1:D2"/>
    <mergeCell ref="E1:H7"/>
    <mergeCell ref="D3:D4"/>
    <mergeCell ref="D5:D6"/>
  </mergeCells>
  <pageMargins left="0.511811024" right="0.511811024" top="0.78740157499999996" bottom="0.78740157499999996" header="0.31496062000000002" footer="0.31496062000000002"/>
  <pageSetup paperSize="9" scale="5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Massa Nominal Aço</vt:lpstr>
      <vt:lpstr>Base - Muro de Arrimo</vt:lpstr>
      <vt:lpstr>Base - Radier</vt:lpstr>
      <vt:lpstr>Base - Cx Necro</vt:lpstr>
      <vt:lpstr>Base - Gavetario</vt:lpstr>
      <vt:lpstr>Memória de Cálculo</vt:lpstr>
      <vt:lpstr>BDI</vt:lpstr>
      <vt:lpstr>Tabela com Desoneração</vt:lpstr>
      <vt:lpstr>Tabela sem Desoneração</vt:lpstr>
      <vt:lpstr>Cronograma Físico-Financeiro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Felipe Portugal Furtuna</dc:creator>
  <cp:lastModifiedBy>Diego Felipe Portugal Furtuna</cp:lastModifiedBy>
  <cp:lastPrinted>2022-06-24T12:20:29Z</cp:lastPrinted>
  <dcterms:created xsi:type="dcterms:W3CDTF">2022-06-16T08:25:19Z</dcterms:created>
  <dcterms:modified xsi:type="dcterms:W3CDTF">2025-12-01T23:50:13Z</dcterms:modified>
</cp:coreProperties>
</file>